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0778948D-05E3-4008-9A27-71787AEE7E89}"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s>
  <calcPr calcId="191029"/>
  <pivotCaches>
    <pivotCache cacheId="2"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I16" i="1" s="1"/>
  <c r="Q16" i="1"/>
  <c r="X17" i="1" s="1"/>
  <c r="T16" i="1"/>
  <c r="K17" i="1"/>
  <c r="K11" i="1"/>
  <c r="Q11" i="1"/>
  <c r="T11" i="1"/>
  <c r="X16" i="1" l="1"/>
  <c r="Y16" i="1" s="1"/>
  <c r="Z16" i="1" l="1"/>
  <c r="Q12" i="1"/>
  <c r="X12" i="1" s="1"/>
  <c r="Z12" i="1" s="1"/>
  <c r="T12" i="1"/>
  <c r="Q13" i="1"/>
  <c r="T13" i="1"/>
  <c r="Q14" i="1"/>
  <c r="T14" i="1"/>
  <c r="Q15" i="1"/>
  <c r="T15" i="1"/>
  <c r="AB13" i="1" l="1"/>
  <c r="AA13" i="1" s="1"/>
  <c r="X15" i="1"/>
  <c r="Z15" i="1" s="1"/>
  <c r="AB12" i="1"/>
  <c r="AA12" i="1" s="1"/>
  <c r="AB14" i="1"/>
  <c r="AA14" i="1" s="1"/>
  <c r="AB15" i="1"/>
  <c r="AA15" i="1" s="1"/>
  <c r="X13" i="1"/>
  <c r="Z13" i="1" s="1"/>
  <c r="X14" i="1"/>
  <c r="Z14" i="1" s="1"/>
  <c r="Y12" i="1"/>
  <c r="T10" i="1"/>
  <c r="Q10" i="1"/>
  <c r="H10" i="1"/>
  <c r="I10" i="1" s="1"/>
  <c r="K62" i="1"/>
  <c r="K59" i="1"/>
  <c r="K57" i="1"/>
  <c r="K69" i="1"/>
  <c r="K49" i="1"/>
  <c r="K60" i="1"/>
  <c r="K54" i="1"/>
  <c r="K48" i="1"/>
  <c r="K63" i="1"/>
  <c r="K47" i="1"/>
  <c r="K56" i="1"/>
  <c r="K65" i="1"/>
  <c r="K50" i="1"/>
  <c r="K66" i="1"/>
  <c r="K21" i="1"/>
  <c r="K19" i="1"/>
  <c r="K55" i="1"/>
  <c r="K18" i="1"/>
  <c r="K20" i="1"/>
  <c r="K67" i="1"/>
  <c r="K68" i="1"/>
  <c r="K53" i="1"/>
  <c r="K51" i="1"/>
  <c r="K61" i="1"/>
  <c r="AC12" i="1" l="1"/>
  <c r="Y15" i="1"/>
  <c r="AC15" i="1" s="1"/>
  <c r="Y13" i="1"/>
  <c r="AC13" i="1" s="1"/>
  <c r="Y14" i="1"/>
  <c r="AC14"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2"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21" i="1"/>
  <c r="Q21" i="1"/>
  <c r="T20" i="1"/>
  <c r="Q20" i="1"/>
  <c r="T19" i="1"/>
  <c r="Q19" i="1"/>
  <c r="T18" i="1"/>
  <c r="Q18" i="1"/>
  <c r="AB50" i="1" l="1"/>
  <c r="AA50" i="1" s="1"/>
  <c r="AB51" i="1"/>
  <c r="AA51" i="1" s="1"/>
  <c r="X64" i="1"/>
  <c r="X58" i="1"/>
  <c r="X52" i="1"/>
  <c r="X46" i="1"/>
  <c r="X50" i="1"/>
  <c r="X51" i="1"/>
  <c r="Y64" i="1" l="1"/>
  <c r="Z64" i="1"/>
  <c r="X65" i="1" s="1"/>
  <c r="Y65" i="1" s="1"/>
  <c r="Y58" i="1"/>
  <c r="Z58" i="1"/>
  <c r="X59" i="1" s="1"/>
  <c r="Z59" i="1" s="1"/>
  <c r="X60" i="1" s="1"/>
  <c r="Y52" i="1"/>
  <c r="Z52" i="1"/>
  <c r="X53" i="1" s="1"/>
  <c r="Z53" i="1" s="1"/>
  <c r="X54" i="1" s="1"/>
  <c r="Y51" i="1"/>
  <c r="Z51" i="1"/>
  <c r="Y50" i="1"/>
  <c r="Z50" i="1"/>
  <c r="Y46" i="1"/>
  <c r="Z46" i="1"/>
  <c r="Y59" i="1" l="1"/>
  <c r="Y53" i="1"/>
  <c r="Z60" i="1"/>
  <c r="X61" i="1" s="1"/>
  <c r="Y60" i="1"/>
  <c r="Z54" i="1"/>
  <c r="X55" i="1" s="1"/>
  <c r="Y54" i="1"/>
  <c r="Z65" i="1"/>
  <c r="X66" i="1" s="1"/>
  <c r="X47" i="1"/>
  <c r="X4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Y48" i="1"/>
  <c r="Z48" i="1"/>
  <c r="X49" i="1" s="1"/>
  <c r="Y66" i="1"/>
  <c r="Z66" i="1"/>
  <c r="X67" i="1" s="1"/>
  <c r="Y47" i="1"/>
  <c r="Z47" i="1"/>
  <c r="X18" i="1"/>
  <c r="Y18" i="1" s="1"/>
  <c r="Y56" i="1" l="1"/>
  <c r="Z56" i="1"/>
  <c r="X57" i="1" s="1"/>
  <c r="X62" i="1"/>
  <c r="X63" i="1"/>
  <c r="Y49" i="1"/>
  <c r="Z49" i="1"/>
  <c r="Z67" i="1"/>
  <c r="Y67" i="1"/>
  <c r="Z18" i="1"/>
  <c r="X19" i="1" s="1"/>
  <c r="Y19" i="1" s="1"/>
  <c r="Y63" i="1" l="1"/>
  <c r="Z63" i="1"/>
  <c r="Y62" i="1"/>
  <c r="Z62" i="1"/>
  <c r="Y57" i="1"/>
  <c r="Z57" i="1"/>
  <c r="X68" i="1"/>
  <c r="X69" i="1"/>
  <c r="Z19" i="1"/>
  <c r="X20" i="1" s="1"/>
  <c r="Z20" i="1" s="1"/>
  <c r="X21" i="1" s="1"/>
  <c r="X10" i="1"/>
  <c r="Y10" i="1" s="1"/>
  <c r="Y69" i="1" l="1"/>
  <c r="Z69" i="1"/>
  <c r="Y68" i="1"/>
  <c r="Z68" i="1"/>
  <c r="Y20" i="1"/>
  <c r="Y21" i="1"/>
  <c r="Z21" i="1"/>
  <c r="Z10" i="1" l="1"/>
  <c r="AB66" i="1" l="1"/>
  <c r="AB59" i="1"/>
  <c r="AB58" i="1"/>
  <c r="AB53" i="1"/>
  <c r="AB52" i="1"/>
  <c r="AA52" i="1" s="1"/>
  <c r="AB47" i="1"/>
  <c r="AB46" i="1"/>
  <c r="AA46" i="1" s="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19" i="1"/>
  <c r="AA18"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60" i="1"/>
  <c r="AB6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1" i="1"/>
  <c r="AB62"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6" i="1" l="1"/>
  <c r="L16" i="1" s="1"/>
  <c r="K46" i="1"/>
  <c r="L46" i="1" s="1"/>
  <c r="K10" i="1"/>
  <c r="L10" i="1" s="1"/>
  <c r="K64" i="1"/>
  <c r="L64" i="1" s="1"/>
  <c r="K58" i="1"/>
  <c r="L58" i="1" s="1"/>
  <c r="K52" i="1"/>
  <c r="L52" i="1" s="1"/>
  <c r="Z42" i="18" l="1"/>
  <c r="AF18" i="18"/>
  <c r="T18" i="18"/>
  <c r="Z26" i="18"/>
  <c r="AF34" i="18"/>
  <c r="AL34" i="18"/>
  <c r="AF42" i="18"/>
  <c r="N42" i="18"/>
  <c r="T10" i="18"/>
  <c r="Z18" i="18"/>
  <c r="N58" i="1"/>
  <c r="AL10" i="18"/>
  <c r="AL42" i="18"/>
  <c r="AL26" i="18"/>
  <c r="AF26" i="18"/>
  <c r="N34" i="18"/>
  <c r="Z10" i="18"/>
  <c r="M58" i="1"/>
  <c r="N18" i="18"/>
  <c r="AF10" i="18"/>
  <c r="T26" i="18"/>
  <c r="N26" i="18"/>
  <c r="T34" i="18"/>
  <c r="AL18" i="18"/>
  <c r="T42" i="18"/>
  <c r="N10" i="18"/>
  <c r="Z34" i="18"/>
  <c r="AB38" i="18"/>
  <c r="AB22" i="18"/>
  <c r="P22" i="18"/>
  <c r="V30" i="18"/>
  <c r="AB30" i="18"/>
  <c r="AB14" i="18"/>
  <c r="M10" i="1"/>
  <c r="AB10" i="1" s="1"/>
  <c r="AA10" i="1" s="1"/>
  <c r="AH30" i="18"/>
  <c r="J30" i="18"/>
  <c r="J22" i="18"/>
  <c r="P38" i="18"/>
  <c r="V38" i="18"/>
  <c r="AB6" i="18"/>
  <c r="N10" i="1"/>
  <c r="P14" i="18"/>
  <c r="J38" i="18"/>
  <c r="V22" i="18"/>
  <c r="AH6" i="18"/>
  <c r="V14" i="18"/>
  <c r="V6" i="18"/>
  <c r="J6" i="18"/>
  <c r="AH14" i="18"/>
  <c r="P30" i="18"/>
  <c r="AH38" i="18"/>
  <c r="AH22" i="18"/>
  <c r="J14" i="18"/>
  <c r="P6" i="18"/>
  <c r="AH12" i="18"/>
  <c r="V12" i="18"/>
  <c r="J20" i="18"/>
  <c r="V28" i="18"/>
  <c r="J44" i="18"/>
  <c r="AH44" i="18"/>
  <c r="AB28" i="18"/>
  <c r="P28" i="18"/>
  <c r="AH28" i="18"/>
  <c r="N64" i="1"/>
  <c r="V36" i="18"/>
  <c r="P12" i="18"/>
  <c r="V20" i="18"/>
  <c r="M64" i="1"/>
  <c r="AB64" i="1" s="1"/>
  <c r="AA64" i="1" s="1"/>
  <c r="AH20" i="18"/>
  <c r="AB20" i="18"/>
  <c r="P44" i="18"/>
  <c r="J28" i="18"/>
  <c r="AB12" i="18"/>
  <c r="P20" i="18"/>
  <c r="AB36" i="18"/>
  <c r="P36" i="18"/>
  <c r="J12" i="18"/>
  <c r="AB44" i="18"/>
  <c r="AH36" i="18"/>
  <c r="V44" i="18"/>
  <c r="J36" i="18"/>
  <c r="AH42" i="18"/>
  <c r="V18" i="18"/>
  <c r="AB26" i="18"/>
  <c r="AB34" i="18"/>
  <c r="AH26" i="18"/>
  <c r="AB42" i="18"/>
  <c r="V26" i="18"/>
  <c r="AH18" i="18"/>
  <c r="V42" i="18"/>
  <c r="J34" i="18"/>
  <c r="P26" i="18"/>
  <c r="J10" i="18"/>
  <c r="V10" i="18"/>
  <c r="M46" i="1"/>
  <c r="AB10" i="18"/>
  <c r="J42" i="18"/>
  <c r="J18" i="18"/>
  <c r="P34" i="18"/>
  <c r="N46" i="1"/>
  <c r="AB18" i="18"/>
  <c r="AH34" i="18"/>
  <c r="J26" i="18"/>
  <c r="P10" i="18"/>
  <c r="AH10" i="18"/>
  <c r="V34" i="18"/>
  <c r="P18" i="18"/>
  <c r="P42" i="18"/>
  <c r="R34" i="18"/>
  <c r="X42" i="18"/>
  <c r="L34" i="18"/>
  <c r="AD34" i="18"/>
  <c r="AJ42" i="18"/>
  <c r="AD10" i="18"/>
  <c r="R10" i="18"/>
  <c r="R42" i="18"/>
  <c r="L42" i="18"/>
  <c r="X26" i="18"/>
  <c r="L26" i="18"/>
  <c r="AJ18" i="18"/>
  <c r="X18" i="18"/>
  <c r="N52" i="1"/>
  <c r="AJ26" i="18"/>
  <c r="R18" i="18"/>
  <c r="X34" i="18"/>
  <c r="AJ10" i="18"/>
  <c r="AD26" i="18"/>
  <c r="AD42" i="18"/>
  <c r="AJ34" i="18"/>
  <c r="X10" i="18"/>
  <c r="R26" i="18"/>
  <c r="AD18" i="18"/>
  <c r="M52" i="1"/>
  <c r="L10" i="18"/>
  <c r="L18" i="18"/>
  <c r="L16" i="18"/>
  <c r="R40" i="18"/>
  <c r="R24" i="18"/>
  <c r="L40" i="18"/>
  <c r="L8" i="18"/>
  <c r="X16" i="18"/>
  <c r="X32" i="18"/>
  <c r="R32" i="18"/>
  <c r="AJ40" i="18"/>
  <c r="AJ16" i="18"/>
  <c r="R16" i="18"/>
  <c r="R8" i="18"/>
  <c r="AD40" i="18"/>
  <c r="AD32" i="18"/>
  <c r="AJ32" i="18"/>
  <c r="AD24" i="18"/>
  <c r="AD8" i="18"/>
  <c r="L24" i="18"/>
  <c r="X40" i="18"/>
  <c r="X24" i="18"/>
  <c r="AJ8" i="18"/>
  <c r="AJ24" i="18"/>
  <c r="L32" i="18"/>
  <c r="AD16" i="18"/>
  <c r="X8" i="18"/>
  <c r="AL40" i="18"/>
  <c r="Z16" i="18"/>
  <c r="T8" i="18"/>
  <c r="T24" i="18"/>
  <c r="AF16" i="18"/>
  <c r="AL24" i="18"/>
  <c r="AF24" i="18"/>
  <c r="T16" i="18"/>
  <c r="AL8" i="18"/>
  <c r="Z32" i="18"/>
  <c r="N8" i="18"/>
  <c r="N32" i="18"/>
  <c r="N16" i="18"/>
  <c r="Z8" i="18"/>
  <c r="N24" i="18"/>
  <c r="AF32" i="18"/>
  <c r="AF40" i="18"/>
  <c r="Z24" i="18"/>
  <c r="AL16" i="18"/>
  <c r="T32" i="18"/>
  <c r="T40" i="18"/>
  <c r="AL32" i="18"/>
  <c r="Z40" i="18"/>
  <c r="N40" i="18"/>
  <c r="AF8" i="18"/>
  <c r="AF30" i="18"/>
  <c r="T14" i="18"/>
  <c r="Z22" i="18"/>
  <c r="AL38" i="18"/>
  <c r="T30" i="18"/>
  <c r="N14" i="18"/>
  <c r="T38" i="18"/>
  <c r="AL6" i="18"/>
  <c r="T22" i="18"/>
  <c r="Z14" i="18"/>
  <c r="AL14" i="18"/>
  <c r="Z38" i="18"/>
  <c r="N22" i="18"/>
  <c r="AF22" i="18"/>
  <c r="Z6" i="18"/>
  <c r="N6" i="18"/>
  <c r="AF6" i="18"/>
  <c r="AF14" i="18"/>
  <c r="AF38" i="18"/>
  <c r="N38" i="18"/>
  <c r="AL30" i="18"/>
  <c r="Z30" i="18"/>
  <c r="AL22" i="18"/>
  <c r="N30" i="18"/>
  <c r="T6" i="18"/>
  <c r="J40" i="18"/>
  <c r="J8" i="18"/>
  <c r="AB40" i="18"/>
  <c r="AB32" i="18"/>
  <c r="AH32" i="18"/>
  <c r="AB8" i="18"/>
  <c r="AB24" i="18"/>
  <c r="J16" i="18"/>
  <c r="J24" i="18"/>
  <c r="P32" i="18"/>
  <c r="J32" i="18"/>
  <c r="V24" i="18"/>
  <c r="P8" i="18"/>
  <c r="P24" i="18"/>
  <c r="P16" i="18"/>
  <c r="AH16" i="18"/>
  <c r="P40" i="18"/>
  <c r="V16" i="18"/>
  <c r="V32" i="18"/>
  <c r="V8" i="18"/>
  <c r="AB16" i="18"/>
  <c r="AH24" i="18"/>
  <c r="V40" i="18"/>
  <c r="AH8" i="18"/>
  <c r="AH40" i="18"/>
  <c r="M16" i="1"/>
  <c r="AB16" i="1" s="1"/>
  <c r="AA16" i="1" s="1"/>
  <c r="N16" i="1"/>
  <c r="AD30" i="18"/>
  <c r="X6" i="18"/>
  <c r="L38" i="18"/>
  <c r="R30" i="18"/>
  <c r="AD14" i="18"/>
  <c r="X22" i="18"/>
  <c r="AJ6" i="18"/>
  <c r="L6" i="18"/>
  <c r="AD6" i="18"/>
  <c r="AD22" i="18"/>
  <c r="X38" i="18"/>
  <c r="R14" i="18"/>
  <c r="AD38" i="18"/>
  <c r="L14" i="18"/>
  <c r="R38" i="18"/>
  <c r="R6" i="18"/>
  <c r="AJ14" i="18"/>
  <c r="X14" i="18"/>
  <c r="X30" i="18"/>
  <c r="L30" i="18"/>
  <c r="L22" i="18"/>
  <c r="AJ38" i="18"/>
  <c r="AJ30" i="18"/>
  <c r="AJ22" i="18"/>
  <c r="R22" i="18"/>
  <c r="V25" i="19" l="1"/>
  <c r="AH15" i="19"/>
  <c r="V45" i="19"/>
  <c r="V35" i="19"/>
  <c r="J15" i="19"/>
  <c r="J55" i="19"/>
  <c r="AB45" i="19"/>
  <c r="AH25" i="19"/>
  <c r="AB55" i="19"/>
  <c r="AH55" i="19"/>
  <c r="AC64" i="1"/>
  <c r="AB15" i="19"/>
  <c r="AB25" i="19"/>
  <c r="P15" i="19"/>
  <c r="P45" i="19"/>
  <c r="J45" i="19"/>
  <c r="V15" i="19"/>
  <c r="P25" i="19"/>
  <c r="J35" i="19"/>
  <c r="P35" i="19"/>
  <c r="AH45" i="19"/>
  <c r="AH35" i="19"/>
  <c r="J25" i="19"/>
  <c r="V55" i="19"/>
  <c r="AB35" i="19"/>
  <c r="P55" i="19"/>
  <c r="AB21" i="19"/>
  <c r="AB31" i="19"/>
  <c r="V31" i="19"/>
  <c r="V21" i="19"/>
  <c r="AH51" i="19"/>
  <c r="P31" i="19"/>
  <c r="AH41" i="19"/>
  <c r="AB51" i="19"/>
  <c r="AH21" i="19"/>
  <c r="AH31" i="19"/>
  <c r="AH11" i="19"/>
  <c r="J11" i="19"/>
  <c r="J31" i="19"/>
  <c r="P41" i="19"/>
  <c r="P21" i="19"/>
  <c r="AB11" i="19"/>
  <c r="V51" i="19"/>
  <c r="J41" i="19"/>
  <c r="V11" i="19"/>
  <c r="AB41" i="19"/>
  <c r="J21" i="19"/>
  <c r="V41" i="19"/>
  <c r="P51" i="19"/>
  <c r="J51" i="19"/>
  <c r="P11" i="19"/>
  <c r="J39" i="19"/>
  <c r="P9" i="19"/>
  <c r="AH9" i="19"/>
  <c r="P29" i="19"/>
  <c r="J49" i="19"/>
  <c r="V19" i="19"/>
  <c r="J9" i="19"/>
  <c r="AB39" i="19"/>
  <c r="AB9" i="19"/>
  <c r="J29" i="19"/>
  <c r="AB49" i="19"/>
  <c r="P19" i="19"/>
  <c r="AH19" i="19"/>
  <c r="AH49" i="19"/>
  <c r="V39" i="19"/>
  <c r="J19" i="19"/>
  <c r="AB29" i="19"/>
  <c r="V49" i="19"/>
  <c r="AH29" i="19"/>
  <c r="P39" i="19"/>
  <c r="V9" i="19"/>
  <c r="V29" i="19"/>
  <c r="P49" i="19"/>
  <c r="AH39" i="19"/>
  <c r="AB19" i="19"/>
  <c r="AC16" i="1"/>
  <c r="AH7" i="19"/>
  <c r="V47" i="19"/>
  <c r="V7" i="19"/>
  <c r="P17" i="19"/>
  <c r="AB17" i="19"/>
  <c r="P7" i="19"/>
  <c r="P47" i="19"/>
  <c r="J37" i="19"/>
  <c r="AH37" i="19"/>
  <c r="V17" i="19"/>
  <c r="J7" i="19"/>
  <c r="AH27" i="19"/>
  <c r="J47" i="19"/>
  <c r="AB27" i="19"/>
  <c r="AB37" i="19"/>
  <c r="P27" i="19"/>
  <c r="AH47" i="19"/>
  <c r="V37" i="19"/>
  <c r="AB47" i="19"/>
  <c r="V27" i="19"/>
  <c r="J17" i="19"/>
  <c r="J27" i="19"/>
  <c r="AB7" i="19"/>
  <c r="P37" i="19"/>
  <c r="AH17"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P40" i="19"/>
  <c r="AB28" i="19"/>
  <c r="V38" i="19"/>
  <c r="AH28" i="19"/>
  <c r="AB38" i="19"/>
  <c r="V48" i="19"/>
  <c r="P8" i="19"/>
  <c r="P38" i="19"/>
  <c r="AH38" i="19"/>
  <c r="P48" i="19"/>
  <c r="AB18" i="19"/>
  <c r="J8" i="19"/>
  <c r="J18" i="19"/>
  <c r="AH8" i="19"/>
  <c r="AB48" i="19"/>
  <c r="V8" i="19"/>
  <c r="AH48" i="19"/>
  <c r="AH18" i="19"/>
  <c r="V18" i="19"/>
  <c r="J38" i="19"/>
  <c r="P18" i="19"/>
  <c r="J28" i="19"/>
  <c r="J48" i="19"/>
  <c r="V28" i="19"/>
  <c r="AB8" i="19"/>
  <c r="P28" i="19"/>
  <c r="P16" i="19"/>
  <c r="V26" i="19"/>
  <c r="P6" i="19"/>
  <c r="AH36" i="19"/>
  <c r="AH6" i="19"/>
  <c r="P26" i="19"/>
  <c r="V46" i="19"/>
  <c r="V16" i="19"/>
  <c r="AH46" i="19"/>
  <c r="V36" i="19"/>
  <c r="AB46" i="19"/>
  <c r="AC10" i="1"/>
  <c r="AB36" i="19"/>
  <c r="J6" i="19"/>
  <c r="AB6" i="19"/>
  <c r="P46" i="19"/>
  <c r="P36" i="19"/>
  <c r="AB26" i="19"/>
  <c r="J36" i="19"/>
  <c r="AH16" i="19"/>
  <c r="AB16" i="19"/>
  <c r="J26" i="19"/>
  <c r="AH26" i="19"/>
  <c r="V6" i="19"/>
  <c r="J16" i="19"/>
  <c r="J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<sst xmlns="http://schemas.openxmlformats.org/spreadsheetml/2006/main" count="353" uniqueCount="240">
  <si>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</si>
  <si>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</si>
  <si>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</si>
  <si>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</si>
  <si>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</si>
  <si>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</si>
  <si>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</si>
  <si>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</si>
  <si>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</si>
  <si>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</si>
  <si>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</si>
  <si>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</si>
  <si>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</si>
  <si>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</si>
  <si>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</si>
  <si>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</si>
  <si>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</si>
  <si>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</si>
  <si>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</si>
  <si>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</si>
  <si>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</si>
  <si>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</si>
  <si>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</si>
  <si>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</si>
  <si>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</si>
  <si>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</si>
  <si>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</si>
  <si>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</si>
  <si>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</si>
  <si>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</si>
  <si>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</si>
  <si>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</si>
  <si>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</si>
  <si>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</si>
  <si>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</si>
  <si>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</si>
  <si>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</si>
  <si>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</si>
  <si>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</si>
  <si>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</si>
  <si>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</si>
  <si>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</si>
  <si>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</si>
  <si>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</si>
  <si>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</si>
  <si>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</si>
  <si>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</si>
  <si>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</si>
  <si>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</si>
  <si>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</si>
  <si>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</si>
  <si>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</si>
  <si>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</si>
  <si>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</si>
  <si>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</si>
  <si>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</si>
  <si>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</si>
  <si>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</si>
  <si>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</si>
  <si>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</si>
  <si>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</si>
  <si>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</si>
  <si>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</si>
  <si>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</si>
  <si>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</si>
  <si>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</si>
  <si>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</si>
  <si>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</si>
  <si>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</si>
  <si>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</si>
  <si>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</si>
  <si>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</si>
  <si>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</si>
  <si>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</si>
  <si>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</si>
  <si>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</si>
  <si>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</si>
  <si>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</si>
  <si>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</si>
  <si>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</si>
  <si>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</si>
  <si>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</si>
  <si>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</si>
  <si>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</si>
  <si>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</si>
  <si>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</si>
  <si>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</si>
  <si>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</si>
  <si>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</si>
  <si>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</si>
  <si>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</si>
  <si>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</si>
  <si>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</si>
  <si>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</si>
  <si>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</si>
  <si>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</si>
  <si>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</si>
  <si>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</si>
  <si>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</si>
  <si>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</si>
  <si>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</si>
  <si>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</si>
  <si>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</si>
  <si>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</si>
  <si>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</si>
  <si>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</si>
  <si>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</si>
  <si>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</si>
  <si>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</si>
  <si>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</si>
  <si>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</si>
  <si>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</si>
  <si>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</si>
  <si>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</si>
  <si>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</si>
  <si>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</si>
  <si>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</si>
  <si>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</si>
  <si>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</si>
  <si>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</si>
  <si>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</si>
  <si>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</si>
  <si>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</si>
  <si>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</si>
  <si>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</si>
  <si>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</si>
  <si>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</si>
  <si>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</si>
  <si>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</si>
  <si>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</si>
  <si>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</si>
  <si>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</si>
  <si>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</si>
  <si>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</si>
  <si>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</si>
  <si>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</si>
  <si>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</si>
  <si>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</si>
  <si>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</si>
  <si>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</si>
  <si>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</si>
  <si>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</si>
  <si>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</si>
  <si>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</si>
  <si>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</si>
  <si>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</si>
  <si>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</si>
  <si>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</si>
  <si>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</si>
  <si>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</si>
  <si>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</si>
  <si>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</si>
  <si>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</si>
  <si>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</si>
  <si>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</si>
  <si>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</si>
  <si>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</si>
  <si>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</si>
  <si>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</si>
  <si>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</si>
  <si>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</si>
  <si>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</si>
  <si>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</si>
  <si>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</si>
  <si>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</si>
  <si>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</si>
  <si>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</si>
  <si>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</si>
  <si>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</si>
  <si>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</si>
  <si>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</si>
  <si>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</si>
  <si>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</si>
  <si>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</si>
  <si>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</si>
  <si>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</si>
  <si>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</si>
  <si>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</si>
  <si>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</si>
  <si>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</si>
  <si>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</si>
  <si>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</si>
  <si>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</si>
  <si>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</si>
  <si>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</si>
  <si>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</si>
  <si>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</si>
  <si>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</si>
  <si>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</si>
  <si>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</si>
  <si>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</si>
  <si>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</si>
  <si>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</si>
  <si>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</si>
  <si>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</si>
  <si>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</si>
  <si>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</si>
  <si>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</si>
  <si>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</si>
  <si>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</si>
  <si>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</si>
  <si>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</si>
  <si>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</si>
  <si>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</si>
  <si>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</si>
  <si>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</si>
  <si>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</si>
  <si>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</si>
  <si>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</si>
  <si>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</si>
  <si>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</si>
  <si>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</si>
  <si>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</si>
  <si>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líder del proceso responsable deberá presentar informe a la oficina de Control Interno de acuerdo al control descrito y al plan de acción teniendo en cuenta la fecha de seguimiento.</t>
  </si>
  <si>
    <t>Aprobó:  Luis Ernesto Ramirez Valencia -Director General</t>
  </si>
  <si>
    <t xml:space="preserve">                       Elaboró:  Jhannier Jhoan Jaramillo Tabima - Contratista de Apoyo</t>
  </si>
  <si>
    <t>Gestión Financiera</t>
  </si>
  <si>
    <t>Cumplir con un Presupuesto Proyectado por el Subdirector financiero y probado ante el concejo Municipal mediante acuerdo Municipal , cuyo cumplimiento esta determinado  por unas Metas establecidas por la Entidad  en sus diferente programas y en la optimización de  Recursos en coordinación con las diferentes áreas que lo integran.</t>
  </si>
  <si>
    <t>Inicia con la necesidad de establecer un programa de gestión Administrativa y financiera  el cual es responsabilidad de la institución  y  esta coordinado por la oficina de Subdirección Administrativa y Financiera.</t>
  </si>
  <si>
    <t>El jefe del proceso  definira un cronograma de informes Contables y Financieros a partir de los requerimientos físicos y digitales de los entes de control y partes interesadas con el fin de que se cumpla periodicamente teniendo en cuenta que deberá hacerse seguimiento según conforme a  lo establecido.</t>
  </si>
  <si>
    <r>
      <rPr>
        <b/>
        <sz val="17.5"/>
        <color theme="9" tint="-0.249977111117893"/>
        <rFont val="Arial Narrow"/>
        <family val="2"/>
      </rPr>
      <t xml:space="preserve">*Nota: </t>
    </r>
    <r>
      <rPr>
        <sz val="17.5"/>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</si>
  <si>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Revisó:  Martha Contreras- Líder del Proceso</t>
  </si>
  <si>
    <t>Falta de claridad sobre el control establecido para la administración y gestión de los perfiles de usuario y niveles de acceso al sistema que gestiona la caja menor, adicional no se identifican actores interesados internos, externos y roles ejercidos en el proceso.</t>
  </si>
  <si>
    <t>Inadecuado proceso de gestión de usuarios o desconocimiento del proceso establecido por el proveedor del servicio tecnológico para Caja Menor.</t>
  </si>
  <si>
    <t>Posibilidad de afectación económica debido a afectaciones de la continuidad del servicio y malas prácticas (corrupción) desencadenado por los riesgos de seguridad digital en los que se incurre al no llevar una adecuada gestión de usuarios en plataforma, no tener claridad sobre cómo el proveedor del servicio (tercero) gestiona dicho proceso y la no exigencia al mismo sobre la aplicación de buenas prácticas en la materia ( Para lo cual el Instituto como insumo para proceso, debe realizar una adecuada caracterización de actores interesados, roles ejercidos y comunicación oportuna de cambios para efectos de activación, inactivación y edición de permisos )</t>
  </si>
  <si>
    <t xml:space="preserve">El  Subdirector Administrativo y Financiero a través de un manual de procedimiento para la caja menor de la entidad, permitirá establecer los lineamientos generales según la normatividad  para que se pueda dar apertura, manejo, reembolso, legalización y manejo adecuado del recurso monetario. </t>
  </si>
  <si>
    <t>El  Subdirector Administrativo y Financiero  deberá efectuar arqueos periódicos y sorpresivos independientemente de la verificación por parte de las dependencias financieras de los diferentes órganos con el fin de que el área financiera correspondiente dé cumplimiento a la norma con el objetivo de garantizar el buen funcionamiento de la caja menor.</t>
  </si>
  <si>
    <t xml:space="preserve">Subdirector Administrativo y Financiero. </t>
  </si>
  <si>
    <t xml:space="preserve">Cada vez que haya ejecución para la apertura, reembolso de dinero para la caja menor. </t>
  </si>
  <si>
    <t>Conforme a la periodicidad de acuerdo al objetivo del plan de acción y a la fecha de seguimiento.</t>
  </si>
  <si>
    <t>Conforme al plan de acción se hará periodicamente el seguimiento.</t>
  </si>
  <si>
    <t xml:space="preserve">diciembre / 2021
</t>
  </si>
  <si>
    <t xml:space="preserve">Ausencia de control que permite el beneficio monetario de terceros. </t>
  </si>
  <si>
    <t>Detrimento patrimonial por desfinanciación de la partida.</t>
  </si>
  <si>
    <t>Posibilidad de afectación economica por desconocimiento en materia presupuestal del funcionario que ordena y  adelanta el tramite del gasto lo que conlleva a que se realice inclusión de gastos no autorizados para beneficio de un tercero.</t>
  </si>
  <si>
    <t>El jefe del proceso mediante la supervisión del presupuesto asignado paea la entidad estará verificando periodicamente la disminución del mismo teniendo en cunta que este es de uso obligatorio para pagos por compromiso de la institución para asi evitar que haya detrimento causal por el uso inadeuado del mismo.</t>
  </si>
  <si>
    <t>MAPA DE RIESGOS</t>
  </si>
  <si>
    <t>GESTION FINANCIERA</t>
  </si>
  <si>
    <t xml:space="preserve">VERSION 5 </t>
  </si>
  <si>
    <t>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</si>
</sst>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7.5"/>
      <color theme="1"/>
      <name val="Arial"/>
      <family val="2"/>
    </font>
    <font>
      <sz val="17.5"/>
      <color theme="1"/>
      <name val="Arial Narrow"/>
      <family val="2"/>
    </font>
    <font>
      <sz val="17.5"/>
      <color theme="1"/>
      <name val="Arial"/>
      <family val="2"/>
    </font>
    <font>
      <b/>
      <sz val="17.5"/>
      <color theme="1"/>
      <name val="Arial Narrow"/>
      <family val="2"/>
    </font>
    <font>
      <sz val="17.5"/>
      <name val="Arial Narrow"/>
      <family val="2"/>
    </font>
    <font>
      <sz val="17.5"/>
      <name val="Arial"/>
      <family val="2"/>
    </font>
    <font>
      <b/>
      <sz val="17.5"/>
      <color theme="9" tint="-0.249977111117893"/>
      <name val="Arial Narrow"/>
      <family val="2"/>
    </font>
    <font>
      <sz val="17.5"/>
      <name val="Tahoma"/>
      <family val="2"/>
    </font>
    <font>
      <sz val="18"/>
      <color theme="1"/>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s>
  <borders count="78">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theme="9" tint="-0.24994659260841701"/>
      </top>
      <bottom style="thin">
        <color indexed="64"/>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medium">
        <color indexed="64"/>
      </right>
      <top style="medium">
        <color indexed="64"/>
      </top>
      <bottom/>
      <diagonal/>
    </border>
    <border>
      <left style="dashed">
        <color theme="9" tint="-0.24994659260841701"/>
      </left>
      <right style="dashed">
        <color theme="9" tint="-0.24994659260841701"/>
      </right>
      <top/>
      <bottom/>
      <diagonal/>
    </border>
    <border>
      <left style="dashed">
        <color theme="9" tint="-0.24994659260841701"/>
      </left>
      <right style="medium">
        <color indexed="64"/>
      </right>
      <top/>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medium">
        <color indexed="64"/>
      </right>
      <top/>
      <bottom style="medium">
        <color indexed="64"/>
      </bottom>
      <diagonal/>
    </border>
    <border>
      <left style="thin">
        <color indexed="64"/>
      </left>
      <right/>
      <top style="thin">
        <color auto="1"/>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47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Fill="1" applyAlignment="1">
      <alignment vertical="center"/>
    </xf>
    <xf numFmtId="0" fontId="26" fillId="0" borderId="0" xfId="0" applyFont="1" applyFill="1"/>
    <xf numFmtId="0" fontId="24" fillId="0" borderId="0" xfId="0" applyFont="1"/>
    <xf numFmtId="0" fontId="0" fillId="0" borderId="0" xfId="0" pivotButton="1"/>
    <xf numFmtId="0" fontId="10" fillId="0" borderId="0" xfId="0" applyFont="1" applyBorder="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2"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2"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0" fillId="3" borderId="0" xfId="0" applyFill="1"/>
    <xf numFmtId="0" fontId="46" fillId="3" borderId="37" xfId="2" applyFont="1" applyFill="1" applyBorder="1" applyProtection="1"/>
    <xf numFmtId="0" fontId="46" fillId="3" borderId="38" xfId="2" applyFont="1" applyFill="1" applyBorder="1" applyProtection="1"/>
    <xf numFmtId="0" fontId="46" fillId="3" borderId="39" xfId="2" applyFont="1" applyFill="1" applyBorder="1" applyProtection="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0" xfId="0" applyFont="1" applyFill="1" applyBorder="1" applyAlignment="1">
      <alignment horizontal="center" vertical="center" wrapText="1" readingOrder="1"/>
    </xf>
    <xf numFmtId="0" fontId="35" fillId="3" borderId="20" xfId="0" applyFont="1" applyFill="1" applyBorder="1" applyAlignment="1">
      <alignment horizontal="justify" vertical="center" wrapText="1" readingOrder="1"/>
    </xf>
    <xf numFmtId="9" fontId="34" fillId="3" borderId="29" xfId="0" applyNumberFormat="1"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4" xfId="0" applyNumberFormat="1"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5" fillId="3" borderId="26" xfId="0" applyFont="1" applyFill="1" applyBorder="1" applyAlignment="1">
      <alignment horizontal="justify" vertical="center" wrapText="1" readingOrder="1"/>
    </xf>
    <xf numFmtId="0" fontId="35" fillId="3" borderId="27" xfId="0" applyFont="1" applyFill="1" applyBorder="1" applyAlignment="1">
      <alignment horizontal="center" vertical="center" wrapText="1" readingOrder="1"/>
    </xf>
    <xf numFmtId="0" fontId="43" fillId="3" borderId="0" xfId="0" applyFont="1" applyFill="1"/>
    <xf numFmtId="0" fontId="34" fillId="15" borderId="31" xfId="0" applyFont="1" applyFill="1" applyBorder="1" applyAlignment="1">
      <alignment horizontal="center" vertical="center" wrapText="1" readingOrder="1"/>
    </xf>
    <xf numFmtId="0" fontId="34" fillId="15" borderId="32"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Border="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5" xfId="2" applyFont="1" applyFill="1" applyBorder="1" applyProtection="1"/>
    <xf numFmtId="0" fontId="51" fillId="3" borderId="0" xfId="0" applyFont="1" applyFill="1" applyBorder="1" applyAlignment="1" applyProtection="1">
      <alignment horizontal="left" vertical="center" wrapText="1"/>
    </xf>
    <xf numFmtId="0" fontId="52" fillId="3" borderId="0" xfId="0" applyFont="1" applyFill="1" applyBorder="1" applyAlignment="1" applyProtection="1">
      <alignment horizontal="left" vertical="top" wrapText="1"/>
    </xf>
    <xf numFmtId="0" fontId="46" fillId="3" borderId="0" xfId="2" applyFont="1" applyFill="1" applyBorder="1" applyProtection="1"/>
    <xf numFmtId="0" fontId="46" fillId="3" borderId="6" xfId="2" applyFont="1" applyFill="1" applyBorder="1" applyProtection="1"/>
    <xf numFmtId="0" fontId="46" fillId="3" borderId="7" xfId="2" applyFont="1" applyFill="1" applyBorder="1" applyProtection="1"/>
    <xf numFmtId="0" fontId="46" fillId="3" borderId="9" xfId="2" applyFont="1" applyFill="1" applyBorder="1" applyProtection="1"/>
    <xf numFmtId="0" fontId="46" fillId="3" borderId="8" xfId="2" applyFont="1" applyFill="1" applyBorder="1" applyProtection="1"/>
    <xf numFmtId="0" fontId="50" fillId="3" borderId="0" xfId="2" applyFont="1" applyFill="1" applyBorder="1" applyAlignment="1" applyProtection="1">
      <alignment horizontal="left" vertical="center" wrapText="1"/>
    </xf>
    <xf numFmtId="0" fontId="46" fillId="3" borderId="0" xfId="2" applyFont="1" applyFill="1" applyBorder="1" applyAlignment="1" applyProtection="1">
      <alignment horizontal="left" vertical="center" wrapText="1"/>
    </xf>
    <xf numFmtId="0" fontId="46" fillId="3" borderId="0" xfId="2" quotePrefix="1" applyFont="1" applyFill="1" applyBorder="1" applyAlignment="1" applyProtection="1">
      <alignment horizontal="left" vertical="center" wrapText="1"/>
    </xf>
    <xf numFmtId="0" fontId="46" fillId="3" borderId="6" xfId="2" applyFont="1" applyFill="1" applyBorder="1" applyAlignment="1" applyProtection="1"/>
    <xf numFmtId="0" fontId="48" fillId="3" borderId="5" xfId="2" quotePrefix="1" applyFont="1" applyFill="1" applyBorder="1" applyAlignment="1" applyProtection="1">
      <alignment horizontal="left" vertical="top" wrapText="1"/>
    </xf>
    <xf numFmtId="0" fontId="49" fillId="3" borderId="0" xfId="2" quotePrefix="1" applyFont="1" applyFill="1" applyBorder="1" applyAlignment="1" applyProtection="1">
      <alignment horizontal="left" vertical="top" wrapText="1"/>
    </xf>
    <xf numFmtId="0" fontId="49" fillId="3" borderId="6" xfId="2" quotePrefix="1" applyFont="1" applyFill="1" applyBorder="1" applyAlignment="1" applyProtection="1">
      <alignment horizontal="left" vertical="top" wrapText="1"/>
    </xf>
    <xf numFmtId="0" fontId="56" fillId="0" borderId="0" xfId="0" applyFont="1" applyAlignment="1">
      <alignment wrapText="1"/>
    </xf>
    <xf numFmtId="0" fontId="57" fillId="3" borderId="62" xfId="0" applyFont="1" applyFill="1" applyBorder="1" applyAlignment="1">
      <alignment horizontal="center" vertical="center" wrapText="1"/>
    </xf>
    <xf numFmtId="0" fontId="57" fillId="3" borderId="64" xfId="0" applyFont="1" applyFill="1" applyBorder="1" applyAlignment="1">
      <alignment horizontal="left" vertical="center" wrapText="1"/>
    </xf>
    <xf numFmtId="0" fontId="57" fillId="3" borderId="64" xfId="0" applyFont="1" applyFill="1" applyBorder="1" applyAlignment="1">
      <alignment horizontal="center" vertical="center" wrapText="1"/>
    </xf>
    <xf numFmtId="0" fontId="57" fillId="3" borderId="64" xfId="0" applyFont="1" applyFill="1" applyBorder="1" applyAlignment="1">
      <alignment wrapText="1"/>
    </xf>
    <xf numFmtId="0" fontId="57" fillId="3" borderId="64" xfId="0" applyFont="1" applyFill="1" applyBorder="1" applyAlignment="1">
      <alignment horizontal="center" wrapText="1"/>
    </xf>
    <xf numFmtId="0" fontId="57" fillId="3" borderId="65" xfId="0" applyFont="1" applyFill="1" applyBorder="1" applyAlignment="1">
      <alignment wrapText="1"/>
    </xf>
    <xf numFmtId="0" fontId="56" fillId="3" borderId="0" xfId="0" applyFont="1" applyFill="1" applyAlignment="1">
      <alignment wrapText="1"/>
    </xf>
    <xf numFmtId="0" fontId="55" fillId="0" borderId="19" xfId="0" applyFont="1" applyFill="1" applyBorder="1" applyAlignment="1">
      <alignment horizontal="center" vertical="center" textRotation="90" wrapText="1"/>
    </xf>
    <xf numFmtId="0" fontId="58" fillId="0" borderId="0" xfId="0" applyFont="1" applyFill="1" applyAlignment="1">
      <alignment horizontal="center" vertical="center" wrapText="1"/>
    </xf>
    <xf numFmtId="164" fontId="57" fillId="0" borderId="19" xfId="1" applyNumberFormat="1" applyFont="1" applyBorder="1" applyAlignment="1">
      <alignment horizontal="center" vertical="center" wrapText="1"/>
    </xf>
    <xf numFmtId="0" fontId="56" fillId="0" borderId="0" xfId="0" applyFont="1" applyAlignment="1">
      <alignment vertical="center" wrapText="1"/>
    </xf>
    <xf numFmtId="0" fontId="57" fillId="0" borderId="19" xfId="0" applyFont="1" applyBorder="1" applyAlignment="1" applyProtection="1">
      <alignment vertical="center" wrapText="1"/>
    </xf>
    <xf numFmtId="0" fontId="57" fillId="0" borderId="19" xfId="0" applyFont="1" applyBorder="1" applyAlignment="1" applyProtection="1">
      <alignment vertical="center" wrapText="1"/>
      <protection locked="0"/>
    </xf>
    <xf numFmtId="0" fontId="60" fillId="0" borderId="19" xfId="0" applyFont="1" applyBorder="1" applyAlignment="1" applyProtection="1">
      <alignment horizontal="center" vertical="center" wrapText="1"/>
      <protection locked="0"/>
    </xf>
    <xf numFmtId="0" fontId="57" fillId="0" borderId="19" xfId="0" applyFont="1" applyBorder="1" applyAlignment="1" applyProtection="1">
      <alignment vertical="top" wrapText="1"/>
      <protection locked="0"/>
    </xf>
    <xf numFmtId="0" fontId="55" fillId="0" borderId="19" xfId="0" applyFont="1" applyFill="1" applyBorder="1" applyAlignment="1" applyProtection="1">
      <alignment vertical="top" textRotation="90" wrapText="1"/>
      <protection hidden="1"/>
    </xf>
    <xf numFmtId="9" fontId="57" fillId="0" borderId="19" xfId="0" applyNumberFormat="1" applyFont="1" applyBorder="1" applyAlignment="1" applyProtection="1">
      <alignment vertical="top" wrapText="1"/>
      <protection hidden="1"/>
    </xf>
    <xf numFmtId="9" fontId="57" fillId="0" borderId="19" xfId="0" applyNumberFormat="1" applyFont="1" applyBorder="1" applyAlignment="1" applyProtection="1">
      <alignment vertical="top" wrapText="1"/>
      <protection locked="0"/>
    </xf>
    <xf numFmtId="0" fontId="55" fillId="0" borderId="19" xfId="0" applyFont="1" applyBorder="1" applyAlignment="1" applyProtection="1">
      <alignment vertical="top" textRotation="90" wrapText="1"/>
      <protection hidden="1"/>
    </xf>
    <xf numFmtId="0" fontId="57" fillId="0" borderId="19" xfId="0" applyFont="1" applyBorder="1" applyAlignment="1" applyProtection="1">
      <alignment horizontal="center" vertical="top" wrapText="1"/>
    </xf>
    <xf numFmtId="0" fontId="57" fillId="0" borderId="19" xfId="0" applyFont="1" applyBorder="1" applyAlignment="1" applyProtection="1">
      <alignment horizontal="justify" vertical="top" wrapText="1"/>
      <protection locked="0"/>
    </xf>
    <xf numFmtId="0" fontId="57" fillId="0" borderId="19" xfId="0" applyFont="1" applyBorder="1" applyAlignment="1" applyProtection="1">
      <alignment horizontal="center" vertical="top" wrapText="1"/>
      <protection hidden="1"/>
    </xf>
    <xf numFmtId="0" fontId="57" fillId="0" borderId="19" xfId="0" applyFont="1" applyBorder="1" applyAlignment="1" applyProtection="1">
      <alignment horizontal="center" vertical="top" textRotation="90" wrapText="1"/>
      <protection locked="0"/>
    </xf>
    <xf numFmtId="164" fontId="57" fillId="0" borderId="19" xfId="1" applyNumberFormat="1" applyFont="1" applyBorder="1" applyAlignment="1">
      <alignment horizontal="center" vertical="top" wrapText="1"/>
    </xf>
    <xf numFmtId="0" fontId="55" fillId="0" borderId="19" xfId="0" applyFont="1" applyFill="1" applyBorder="1" applyAlignment="1" applyProtection="1">
      <alignment horizontal="center" vertical="top" textRotation="90" wrapText="1"/>
      <protection hidden="1"/>
    </xf>
    <xf numFmtId="0" fontId="55" fillId="0" borderId="19" xfId="0" applyFont="1" applyBorder="1" applyAlignment="1" applyProtection="1">
      <alignment horizontal="center" vertical="top" textRotation="90" wrapText="1"/>
      <protection hidden="1"/>
    </xf>
    <xf numFmtId="0" fontId="57" fillId="0" borderId="19" xfId="0" applyFont="1" applyBorder="1" applyAlignment="1" applyProtection="1">
      <alignment horizontal="center" vertical="top" wrapText="1"/>
      <protection locked="0"/>
    </xf>
    <xf numFmtId="14" fontId="57" fillId="0" borderId="19" xfId="0" applyNumberFormat="1" applyFont="1" applyBorder="1" applyAlignment="1" applyProtection="1">
      <alignment horizontal="center" vertical="top" wrapText="1"/>
      <protection locked="0"/>
    </xf>
    <xf numFmtId="0" fontId="57" fillId="0" borderId="19" xfId="0" applyFont="1" applyBorder="1" applyAlignment="1" applyProtection="1">
      <alignment vertical="top" wrapText="1"/>
    </xf>
    <xf numFmtId="0" fontId="55" fillId="0" borderId="19" xfId="0" applyFont="1" applyFill="1" applyBorder="1" applyAlignment="1" applyProtection="1">
      <alignment vertical="center" textRotation="90" wrapText="1"/>
      <protection hidden="1"/>
    </xf>
    <xf numFmtId="9" fontId="57" fillId="0" borderId="19" xfId="0" applyNumberFormat="1" applyFont="1" applyBorder="1" applyAlignment="1" applyProtection="1">
      <alignment vertical="center" wrapText="1"/>
      <protection hidden="1"/>
    </xf>
    <xf numFmtId="9" fontId="57" fillId="0" borderId="19" xfId="0" applyNumberFormat="1" applyFont="1" applyBorder="1" applyAlignment="1" applyProtection="1">
      <alignment vertical="center" wrapText="1"/>
      <protection locked="0"/>
    </xf>
    <xf numFmtId="0" fontId="55" fillId="0" borderId="19" xfId="0" applyFont="1" applyBorder="1" applyAlignment="1" applyProtection="1">
      <alignment vertical="center" textRotation="90" wrapText="1"/>
      <protection hidden="1"/>
    </xf>
    <xf numFmtId="0" fontId="60" fillId="0" borderId="19" xfId="0" applyFont="1" applyBorder="1" applyAlignment="1" applyProtection="1">
      <alignment vertical="center" wrapText="1"/>
      <protection locked="0"/>
    </xf>
    <xf numFmtId="0" fontId="57" fillId="0" borderId="19" xfId="0" applyFont="1" applyBorder="1" applyAlignment="1" applyProtection="1">
      <alignment horizontal="justify" vertical="center" wrapText="1"/>
      <protection locked="0"/>
    </xf>
    <xf numFmtId="0" fontId="60" fillId="3" borderId="19" xfId="0" applyFont="1" applyFill="1" applyBorder="1" applyAlignment="1">
      <alignment horizontal="center" wrapText="1"/>
    </xf>
    <xf numFmtId="9" fontId="57" fillId="0" borderId="19" xfId="0" applyNumberFormat="1" applyFont="1" applyBorder="1" applyAlignment="1" applyProtection="1">
      <alignment horizontal="center" vertical="top" wrapText="1"/>
      <protection locked="0"/>
    </xf>
    <xf numFmtId="164" fontId="57" fillId="9" borderId="19" xfId="1" applyNumberFormat="1" applyFont="1" applyFill="1" applyBorder="1" applyAlignment="1">
      <alignment horizontal="center" vertical="top" wrapText="1"/>
    </xf>
    <xf numFmtId="0" fontId="60" fillId="0" borderId="19" xfId="0" applyFont="1" applyBorder="1" applyAlignment="1" applyProtection="1">
      <alignment horizontal="center" vertical="top" wrapText="1"/>
      <protection locked="0"/>
    </xf>
    <xf numFmtId="0" fontId="60" fillId="0" borderId="19" xfId="0" applyFont="1" applyBorder="1" applyAlignment="1">
      <alignment wrapText="1"/>
    </xf>
    <xf numFmtId="0" fontId="60" fillId="0" borderId="19" xfId="0" applyFont="1" applyBorder="1" applyAlignment="1" applyProtection="1">
      <alignment vertical="top" wrapText="1"/>
      <protection locked="0"/>
    </xf>
    <xf numFmtId="0" fontId="55" fillId="0" borderId="19" xfId="0" applyFont="1" applyFill="1" applyBorder="1" applyAlignment="1" applyProtection="1">
      <alignment vertical="top" wrapText="1"/>
      <protection hidden="1"/>
    </xf>
    <xf numFmtId="0" fontId="55" fillId="0" borderId="19" xfId="0" applyFont="1" applyBorder="1" applyAlignment="1" applyProtection="1">
      <alignment vertical="top" wrapText="1"/>
      <protection hidden="1"/>
    </xf>
    <xf numFmtId="0" fontId="56" fillId="0" borderId="19" xfId="0" applyFont="1" applyBorder="1" applyAlignment="1" applyProtection="1">
      <alignment horizontal="center" vertical="center" wrapText="1"/>
    </xf>
    <xf numFmtId="0" fontId="59" fillId="0" borderId="19" xfId="0" applyFont="1" applyBorder="1" applyAlignment="1" applyProtection="1">
      <alignment horizontal="center" vertical="center" wrapText="1"/>
      <protection locked="0"/>
    </xf>
    <xf numFmtId="0" fontId="58" fillId="0" borderId="19" xfId="0" applyFont="1" applyFill="1" applyBorder="1" applyAlignment="1" applyProtection="1">
      <alignment horizontal="center" vertical="center" wrapText="1"/>
      <protection hidden="1"/>
    </xf>
    <xf numFmtId="9" fontId="56" fillId="0" borderId="19" xfId="0" applyNumberFormat="1" applyFont="1" applyBorder="1" applyAlignment="1" applyProtection="1">
      <alignment horizontal="center" vertical="center" wrapText="1"/>
      <protection hidden="1"/>
    </xf>
    <xf numFmtId="9" fontId="56" fillId="0" borderId="19" xfId="0" applyNumberFormat="1" applyFont="1" applyBorder="1" applyAlignment="1" applyProtection="1">
      <alignment horizontal="center" vertical="center" wrapText="1"/>
      <protection locked="0"/>
    </xf>
    <xf numFmtId="0" fontId="58" fillId="0" borderId="19" xfId="0" applyFont="1" applyBorder="1" applyAlignment="1" applyProtection="1">
      <alignment horizontal="center" vertical="center" wrapText="1"/>
      <protection hidden="1"/>
    </xf>
    <xf numFmtId="0" fontId="56" fillId="0" borderId="19" xfId="0" applyFont="1" applyBorder="1" applyAlignment="1" applyProtection="1">
      <alignment horizontal="center" vertical="center" wrapText="1"/>
      <protection hidden="1"/>
    </xf>
    <xf numFmtId="0" fontId="56" fillId="0" borderId="19" xfId="0" applyFont="1" applyBorder="1" applyAlignment="1" applyProtection="1">
      <alignment horizontal="center" vertical="center" textRotation="90" wrapText="1"/>
      <protection locked="0"/>
    </xf>
    <xf numFmtId="164" fontId="56" fillId="0" borderId="19" xfId="1" applyNumberFormat="1" applyFont="1" applyBorder="1" applyAlignment="1">
      <alignment horizontal="center" vertical="center" wrapText="1"/>
    </xf>
    <xf numFmtId="0" fontId="58" fillId="0" borderId="19" xfId="0" applyFont="1" applyFill="1" applyBorder="1" applyAlignment="1" applyProtection="1">
      <alignment horizontal="center" vertical="center" textRotation="90" wrapText="1"/>
      <protection hidden="1"/>
    </xf>
    <xf numFmtId="0" fontId="58" fillId="0" borderId="19" xfId="0" applyFont="1" applyBorder="1" applyAlignment="1" applyProtection="1">
      <alignment horizontal="center" vertical="center" textRotation="90" wrapText="1"/>
      <protection hidden="1"/>
    </xf>
    <xf numFmtId="14" fontId="56" fillId="0" borderId="19" xfId="0" applyNumberFormat="1" applyFont="1" applyBorder="1" applyAlignment="1" applyProtection="1">
      <alignment horizontal="center" vertical="center" wrapText="1"/>
      <protection locked="0"/>
    </xf>
    <xf numFmtId="0" fontId="56" fillId="0" borderId="19" xfId="0" applyFont="1" applyBorder="1" applyAlignment="1" applyProtection="1">
      <alignment vertical="top" wrapText="1"/>
    </xf>
    <xf numFmtId="0" fontId="56" fillId="0" borderId="19" xfId="0" applyFont="1" applyBorder="1" applyAlignment="1" applyProtection="1">
      <alignment vertical="top" wrapText="1"/>
      <protection locked="0"/>
    </xf>
    <xf numFmtId="0" fontId="59" fillId="0" borderId="19" xfId="0" applyFont="1" applyBorder="1" applyAlignment="1" applyProtection="1">
      <alignment vertical="top" wrapText="1"/>
      <protection locked="0"/>
    </xf>
    <xf numFmtId="0" fontId="58" fillId="0" borderId="19" xfId="0" applyFont="1" applyFill="1" applyBorder="1" applyAlignment="1" applyProtection="1">
      <alignment vertical="top" wrapText="1"/>
      <protection hidden="1"/>
    </xf>
    <xf numFmtId="9" fontId="56" fillId="0" borderId="19" xfId="0" applyNumberFormat="1" applyFont="1" applyBorder="1" applyAlignment="1" applyProtection="1">
      <alignment vertical="top" wrapText="1"/>
      <protection hidden="1"/>
    </xf>
    <xf numFmtId="9" fontId="56" fillId="0" borderId="19" xfId="0" applyNumberFormat="1" applyFont="1" applyBorder="1" applyAlignment="1" applyProtection="1">
      <alignment vertical="top" wrapText="1"/>
      <protection locked="0"/>
    </xf>
    <xf numFmtId="0" fontId="58" fillId="0" borderId="19" xfId="0" applyFont="1" applyBorder="1" applyAlignment="1" applyProtection="1">
      <alignment vertical="top" wrapText="1"/>
      <protection hidden="1"/>
    </xf>
    <xf numFmtId="0" fontId="56" fillId="0" borderId="19" xfId="0" applyFont="1" applyBorder="1" applyAlignment="1" applyProtection="1">
      <alignment horizontal="justify" vertical="top" wrapText="1"/>
      <protection locked="0"/>
    </xf>
    <xf numFmtId="0" fontId="56" fillId="0" borderId="19" xfId="0" applyFont="1" applyBorder="1" applyAlignment="1" applyProtection="1">
      <alignment horizontal="center" vertical="top" wrapText="1"/>
      <protection hidden="1"/>
    </xf>
    <xf numFmtId="0" fontId="56" fillId="0" borderId="19" xfId="0" applyFont="1" applyBorder="1" applyAlignment="1" applyProtection="1">
      <alignment horizontal="center" vertical="top" textRotation="90" wrapText="1"/>
      <protection locked="0"/>
    </xf>
    <xf numFmtId="164" fontId="56" fillId="0" borderId="19" xfId="1" applyNumberFormat="1" applyFont="1" applyBorder="1" applyAlignment="1">
      <alignment horizontal="center" vertical="top" wrapText="1"/>
    </xf>
    <xf numFmtId="0" fontId="58" fillId="0" borderId="19" xfId="0" applyFont="1" applyFill="1" applyBorder="1" applyAlignment="1" applyProtection="1">
      <alignment horizontal="center" vertical="top" textRotation="90" wrapText="1"/>
      <protection hidden="1"/>
    </xf>
    <xf numFmtId="0" fontId="58" fillId="0" borderId="19" xfId="0" applyFont="1" applyBorder="1" applyAlignment="1" applyProtection="1">
      <alignment horizontal="center" vertical="top" textRotation="90" wrapText="1"/>
      <protection hidden="1"/>
    </xf>
    <xf numFmtId="14" fontId="56" fillId="0" borderId="19" xfId="0" applyNumberFormat="1" applyFont="1" applyBorder="1" applyAlignment="1" applyProtection="1">
      <alignment horizontal="center" vertical="top" wrapText="1"/>
      <protection locked="0"/>
    </xf>
    <xf numFmtId="0" fontId="56" fillId="0" borderId="61" xfId="0" applyFont="1" applyBorder="1" applyAlignment="1" applyProtection="1">
      <alignment horizontal="center" vertical="top" wrapText="1"/>
    </xf>
    <xf numFmtId="0" fontId="56" fillId="0" borderId="61" xfId="0" applyFont="1" applyBorder="1" applyAlignment="1" applyProtection="1">
      <alignment horizontal="justify" vertical="top" wrapText="1"/>
      <protection locked="0"/>
    </xf>
    <xf numFmtId="0" fontId="56" fillId="0" borderId="61" xfId="0" applyFont="1" applyBorder="1" applyAlignment="1" applyProtection="1">
      <alignment horizontal="center" vertical="top" wrapText="1"/>
      <protection hidden="1"/>
    </xf>
    <xf numFmtId="0" fontId="56" fillId="0" borderId="61" xfId="0" applyFont="1" applyBorder="1" applyAlignment="1" applyProtection="1">
      <alignment horizontal="center" vertical="top" textRotation="90" wrapText="1"/>
      <protection locked="0"/>
    </xf>
    <xf numFmtId="9" fontId="56" fillId="0" borderId="61" xfId="0" applyNumberFormat="1" applyFont="1" applyBorder="1" applyAlignment="1" applyProtection="1">
      <alignment horizontal="center" vertical="top" wrapText="1"/>
      <protection hidden="1"/>
    </xf>
    <xf numFmtId="164" fontId="56" fillId="0" borderId="61" xfId="1" applyNumberFormat="1" applyFont="1" applyBorder="1" applyAlignment="1">
      <alignment horizontal="center" vertical="top" wrapText="1"/>
    </xf>
    <xf numFmtId="0" fontId="58" fillId="0" borderId="61" xfId="0" applyFont="1" applyFill="1" applyBorder="1" applyAlignment="1" applyProtection="1">
      <alignment horizontal="center" vertical="top" textRotation="90" wrapText="1"/>
      <protection hidden="1"/>
    </xf>
    <xf numFmtId="0" fontId="58" fillId="0" borderId="61" xfId="0" applyFont="1" applyBorder="1" applyAlignment="1" applyProtection="1">
      <alignment horizontal="center" vertical="top" textRotation="90" wrapText="1"/>
      <protection hidden="1"/>
    </xf>
    <xf numFmtId="0" fontId="56" fillId="0" borderId="61" xfId="0" applyFont="1" applyBorder="1" applyAlignment="1" applyProtection="1">
      <alignment horizontal="center" vertical="top" wrapText="1"/>
      <protection locked="0"/>
    </xf>
    <xf numFmtId="14" fontId="56" fillId="0" borderId="61" xfId="0" applyNumberFormat="1" applyFont="1" applyBorder="1" applyAlignment="1" applyProtection="1">
      <alignment horizontal="center" vertical="top" wrapText="1"/>
      <protection locked="0"/>
    </xf>
    <xf numFmtId="0" fontId="56" fillId="3" borderId="0" xfId="0" applyFont="1" applyFill="1" applyBorder="1" applyAlignment="1">
      <alignment horizontal="center" vertical="center" wrapText="1"/>
    </xf>
    <xf numFmtId="0" fontId="56" fillId="3" borderId="0" xfId="0" applyFont="1" applyFill="1" applyBorder="1" applyAlignment="1">
      <alignment wrapText="1"/>
    </xf>
    <xf numFmtId="0" fontId="58" fillId="3" borderId="0" xfId="0" applyFont="1" applyFill="1" applyBorder="1" applyAlignment="1">
      <alignment horizontal="left" vertical="center"/>
    </xf>
    <xf numFmtId="0" fontId="58" fillId="3" borderId="0" xfId="0" applyFont="1" applyFill="1" applyBorder="1" applyAlignment="1">
      <alignment horizontal="left" vertical="center" wrapText="1"/>
    </xf>
    <xf numFmtId="0" fontId="56" fillId="3" borderId="0" xfId="0" applyFont="1" applyFill="1" applyBorder="1" applyAlignment="1">
      <alignment horizontal="center" wrapText="1"/>
    </xf>
    <xf numFmtId="0" fontId="56" fillId="3" borderId="0" xfId="0" applyFont="1" applyFill="1" applyBorder="1" applyAlignment="1">
      <alignment vertical="center"/>
    </xf>
    <xf numFmtId="0" fontId="56" fillId="3" borderId="0" xfId="0" applyFont="1" applyFill="1"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center" wrapText="1"/>
    </xf>
    <xf numFmtId="0" fontId="59" fillId="3" borderId="19" xfId="0" applyFont="1" applyFill="1" applyBorder="1" applyAlignment="1" applyProtection="1">
      <alignment vertical="center" wrapText="1"/>
      <protection locked="0"/>
    </xf>
    <xf numFmtId="0" fontId="62" fillId="3" borderId="19" xfId="0" applyFont="1" applyFill="1" applyBorder="1" applyAlignment="1" applyProtection="1">
      <alignment horizontal="center" vertical="center" wrapText="1"/>
      <protection locked="0"/>
    </xf>
    <xf numFmtId="0" fontId="56" fillId="0" borderId="19" xfId="0" applyFont="1" applyBorder="1" applyAlignment="1">
      <alignment horizontal="center" vertical="center" wrapText="1"/>
    </xf>
    <xf numFmtId="0" fontId="57" fillId="0" borderId="19" xfId="0" applyFont="1" applyBorder="1" applyAlignment="1" applyProtection="1">
      <alignment horizontal="center" vertical="center" wrapText="1"/>
      <protection locked="0"/>
    </xf>
    <xf numFmtId="9" fontId="57" fillId="0" borderId="19" xfId="0" applyNumberFormat="1" applyFont="1" applyBorder="1" applyAlignment="1" applyProtection="1">
      <alignment horizontal="center" vertical="top" wrapText="1"/>
      <protection hidden="1"/>
    </xf>
    <xf numFmtId="0" fontId="56" fillId="0" borderId="19" xfId="0" applyFont="1" applyBorder="1" applyAlignment="1" applyProtection="1">
      <alignment horizontal="center" vertical="center" wrapText="1"/>
      <protection locked="0"/>
    </xf>
    <xf numFmtId="9" fontId="56" fillId="0" borderId="19" xfId="0" applyNumberFormat="1" applyFont="1" applyBorder="1" applyAlignment="1" applyProtection="1">
      <alignment horizontal="center" vertical="top" wrapText="1"/>
      <protection hidden="1"/>
    </xf>
    <xf numFmtId="0" fontId="60" fillId="0" borderId="19" xfId="0" applyFont="1" applyBorder="1" applyAlignment="1">
      <alignment horizontal="center" wrapText="1"/>
    </xf>
    <xf numFmtId="0" fontId="56" fillId="0" borderId="19" xfId="0" applyFont="1" applyBorder="1" applyAlignment="1" applyProtection="1">
      <alignment horizontal="center" vertical="top" wrapText="1"/>
    </xf>
    <xf numFmtId="0" fontId="56" fillId="0" borderId="19" xfId="0" applyFont="1" applyBorder="1" applyAlignment="1" applyProtection="1">
      <alignment horizontal="center" vertical="top" wrapText="1"/>
      <protection locked="0"/>
    </xf>
    <xf numFmtId="0" fontId="57" fillId="0" borderId="19" xfId="0" applyFont="1" applyBorder="1" applyAlignment="1" applyProtection="1">
      <alignment horizontal="center" vertical="center" wrapText="1"/>
    </xf>
    <xf numFmtId="0" fontId="59" fillId="3" borderId="19" xfId="0" applyFont="1" applyFill="1" applyBorder="1" applyAlignment="1" applyProtection="1">
      <alignment horizontal="center" vertical="center" wrapText="1"/>
      <protection locked="0"/>
    </xf>
    <xf numFmtId="0" fontId="55" fillId="0" borderId="19" xfId="0" applyFont="1" applyFill="1" applyBorder="1" applyAlignment="1" applyProtection="1">
      <alignment horizontal="center" vertical="center" textRotation="90" wrapText="1"/>
      <protection hidden="1"/>
    </xf>
    <xf numFmtId="0" fontId="57" fillId="0" borderId="19" xfId="0" applyFont="1" applyBorder="1" applyAlignment="1" applyProtection="1">
      <alignment horizontal="center" vertical="center" textRotation="90" wrapText="1"/>
      <protection locked="0"/>
    </xf>
    <xf numFmtId="9" fontId="57" fillId="0" borderId="19" xfId="0" applyNumberFormat="1" applyFont="1" applyBorder="1" applyAlignment="1" applyProtection="1">
      <alignment horizontal="center" vertical="center" wrapText="1"/>
      <protection hidden="1"/>
    </xf>
    <xf numFmtId="0" fontId="55" fillId="0" borderId="19" xfId="0" applyFont="1" applyBorder="1" applyAlignment="1" applyProtection="1">
      <alignment horizontal="center" vertical="center" textRotation="90" wrapText="1"/>
      <protection hidden="1"/>
    </xf>
    <xf numFmtId="0" fontId="56" fillId="3" borderId="0" xfId="0" applyFont="1" applyFill="1" applyBorder="1" applyAlignment="1">
      <alignment horizontal="left" vertical="center" wrapText="1"/>
    </xf>
    <xf numFmtId="9" fontId="57" fillId="0" borderId="19" xfId="0" applyNumberFormat="1" applyFont="1" applyBorder="1" applyAlignment="1" applyProtection="1">
      <alignment horizontal="center" vertical="center" wrapText="1"/>
      <protection locked="0"/>
    </xf>
    <xf numFmtId="0" fontId="57" fillId="0" borderId="19" xfId="0" applyFont="1" applyBorder="1" applyAlignment="1" applyProtection="1">
      <alignment horizontal="center" vertical="center" wrapText="1"/>
      <protection hidden="1"/>
    </xf>
    <xf numFmtId="0" fontId="56" fillId="3" borderId="19" xfId="0" applyFont="1" applyFill="1" applyBorder="1" applyAlignment="1" applyProtection="1">
      <alignment horizontal="center" vertical="center" wrapText="1"/>
      <protection locked="0"/>
    </xf>
    <xf numFmtId="0" fontId="57" fillId="3" borderId="19" xfId="0" applyFont="1" applyFill="1" applyBorder="1" applyAlignment="1" applyProtection="1">
      <alignment horizontal="center" vertical="center" wrapText="1"/>
      <protection locked="0"/>
    </xf>
    <xf numFmtId="0" fontId="57" fillId="3" borderId="70" xfId="0" applyFont="1" applyFill="1" applyBorder="1" applyAlignment="1" applyProtection="1">
      <alignment horizontal="center" vertical="center" wrapText="1"/>
      <protection locked="0"/>
    </xf>
    <xf numFmtId="0" fontId="60" fillId="3" borderId="19" xfId="0" applyFont="1" applyFill="1" applyBorder="1" applyAlignment="1" applyProtection="1">
      <alignment horizontal="center" vertical="center" wrapText="1"/>
      <protection locked="0"/>
    </xf>
    <xf numFmtId="0" fontId="47" fillId="14" borderId="34" xfId="2" applyFont="1" applyFill="1" applyBorder="1" applyAlignment="1" applyProtection="1">
      <alignment horizontal="center" vertical="center" wrapText="1"/>
    </xf>
    <xf numFmtId="0" fontId="47" fillId="14" borderId="35" xfId="2" applyFont="1" applyFill="1" applyBorder="1" applyAlignment="1" applyProtection="1">
      <alignment horizontal="center" vertical="center" wrapText="1"/>
    </xf>
    <xf numFmtId="0" fontId="47" fillId="14" borderId="36" xfId="2" applyFont="1" applyFill="1" applyBorder="1" applyAlignment="1" applyProtection="1">
      <alignment horizontal="center" vertical="center" wrapText="1"/>
    </xf>
    <xf numFmtId="0" fontId="46" fillId="0" borderId="5" xfId="2" quotePrefix="1" applyFont="1" applyBorder="1" applyAlignment="1" applyProtection="1">
      <alignment horizontal="left" vertical="center" wrapText="1"/>
    </xf>
    <xf numFmtId="0" fontId="46" fillId="0" borderId="0" xfId="2" quotePrefix="1" applyFont="1" applyBorder="1" applyAlignment="1" applyProtection="1">
      <alignment horizontal="left" vertical="center" wrapText="1"/>
    </xf>
    <xf numFmtId="0" fontId="46" fillId="0" borderId="6" xfId="2" quotePrefix="1" applyFont="1" applyBorder="1" applyAlignment="1" applyProtection="1">
      <alignment horizontal="left" vertical="center" wrapText="1"/>
    </xf>
    <xf numFmtId="0" fontId="46" fillId="0" borderId="54" xfId="2" quotePrefix="1" applyFont="1" applyBorder="1" applyAlignment="1" applyProtection="1">
      <alignment horizontal="left" vertical="center" wrapText="1"/>
    </xf>
    <xf numFmtId="0" fontId="46" fillId="0" borderId="55" xfId="2" quotePrefix="1" applyFont="1" applyBorder="1" applyAlignment="1" applyProtection="1">
      <alignment horizontal="left" vertical="center" wrapText="1"/>
    </xf>
    <xf numFmtId="0" fontId="46" fillId="0" borderId="56" xfId="2" quotePrefix="1" applyFont="1" applyBorder="1" applyAlignment="1" applyProtection="1">
      <alignment horizontal="left" vertical="center" wrapText="1"/>
    </xf>
    <xf numFmtId="0" fontId="48" fillId="3" borderId="37" xfId="2" quotePrefix="1" applyFont="1" applyFill="1" applyBorder="1" applyAlignment="1" applyProtection="1">
      <alignment horizontal="left" vertical="top" wrapText="1"/>
    </xf>
    <xf numFmtId="0" fontId="49" fillId="3" borderId="38" xfId="2" quotePrefix="1" applyFont="1" applyFill="1" applyBorder="1" applyAlignment="1" applyProtection="1">
      <alignment horizontal="left" vertical="top" wrapText="1"/>
    </xf>
    <xf numFmtId="0" fontId="49" fillId="3" borderId="39" xfId="2" quotePrefix="1" applyFont="1" applyFill="1" applyBorder="1" applyAlignment="1" applyProtection="1">
      <alignment horizontal="left" vertical="top" wrapText="1"/>
    </xf>
    <xf numFmtId="0" fontId="46" fillId="0" borderId="5" xfId="2" quotePrefix="1" applyFont="1" applyBorder="1" applyAlignment="1" applyProtection="1">
      <alignment horizontal="left" vertical="top" wrapText="1"/>
    </xf>
    <xf numFmtId="0" fontId="46" fillId="0" borderId="0" xfId="2" quotePrefix="1" applyFont="1" applyBorder="1" applyAlignment="1" applyProtection="1">
      <alignment horizontal="left" vertical="top" wrapText="1"/>
    </xf>
    <xf numFmtId="0" fontId="46" fillId="0" borderId="6" xfId="2" quotePrefix="1" applyFont="1" applyBorder="1" applyAlignment="1" applyProtection="1">
      <alignment horizontal="left" vertical="top" wrapText="1"/>
    </xf>
    <xf numFmtId="0" fontId="51" fillId="14" borderId="40" xfId="3" applyFont="1" applyFill="1" applyBorder="1" applyAlignment="1" applyProtection="1">
      <alignment horizontal="center" vertical="center" wrapText="1"/>
    </xf>
    <xf numFmtId="0" fontId="51" fillId="14" borderId="41" xfId="3" applyFont="1" applyFill="1" applyBorder="1" applyAlignment="1" applyProtection="1">
      <alignment horizontal="center" vertical="center" wrapText="1"/>
    </xf>
    <xf numFmtId="0" fontId="51" fillId="14" borderId="42" xfId="2" applyFont="1" applyFill="1" applyBorder="1" applyAlignment="1" applyProtection="1">
      <alignment horizontal="center" vertical="center"/>
    </xf>
    <xf numFmtId="0" fontId="51" fillId="14" borderId="43" xfId="2" applyFont="1" applyFill="1" applyBorder="1" applyAlignment="1" applyProtection="1">
      <alignment horizontal="center" vertical="center"/>
    </xf>
    <xf numFmtId="0" fontId="1" fillId="3" borderId="54" xfId="2" quotePrefix="1" applyFont="1" applyFill="1" applyBorder="1" applyAlignment="1" applyProtection="1">
      <alignment horizontal="justify" vertical="center" wrapText="1"/>
    </xf>
    <xf numFmtId="0" fontId="1" fillId="3" borderId="55" xfId="2" quotePrefix="1" applyFont="1" applyFill="1" applyBorder="1" applyAlignment="1" applyProtection="1">
      <alignment horizontal="justify" vertical="center" wrapText="1"/>
    </xf>
    <xf numFmtId="0" fontId="1" fillId="3" borderId="56" xfId="2" quotePrefix="1" applyFont="1" applyFill="1" applyBorder="1" applyAlignment="1" applyProtection="1">
      <alignment horizontal="justify" vertical="center" wrapText="1"/>
    </xf>
    <xf numFmtId="0" fontId="51" fillId="3" borderId="44" xfId="3" applyFont="1" applyFill="1" applyBorder="1" applyAlignment="1" applyProtection="1">
      <alignment horizontal="left" vertical="top" wrapText="1" readingOrder="1"/>
    </xf>
    <xf numFmtId="0" fontId="51" fillId="3" borderId="45" xfId="3" applyFont="1" applyFill="1" applyBorder="1" applyAlignment="1" applyProtection="1">
      <alignment horizontal="left" vertical="top" wrapText="1" readingOrder="1"/>
    </xf>
    <xf numFmtId="0" fontId="52" fillId="3" borderId="46" xfId="2" applyFont="1" applyFill="1" applyBorder="1" applyAlignment="1" applyProtection="1">
      <alignment horizontal="justify" vertical="center" wrapText="1"/>
    </xf>
    <xf numFmtId="0" fontId="52" fillId="3" borderId="47" xfId="2" applyFont="1" applyFill="1" applyBorder="1" applyAlignment="1" applyProtection="1">
      <alignment horizontal="justify" vertical="center" wrapText="1"/>
    </xf>
    <xf numFmtId="0" fontId="51" fillId="3" borderId="48" xfId="0" applyFont="1" applyFill="1" applyBorder="1" applyAlignment="1" applyProtection="1">
      <alignment horizontal="left" vertical="center" wrapText="1"/>
    </xf>
    <xf numFmtId="0" fontId="51" fillId="3" borderId="49" xfId="0" applyFont="1" applyFill="1" applyBorder="1" applyAlignment="1" applyProtection="1">
      <alignment horizontal="left" vertical="center" wrapText="1"/>
    </xf>
    <xf numFmtId="0" fontId="52" fillId="3" borderId="50" xfId="2" applyFont="1" applyFill="1" applyBorder="1" applyAlignment="1" applyProtection="1">
      <alignment horizontal="justify" vertical="center" wrapText="1"/>
    </xf>
    <xf numFmtId="0" fontId="52" fillId="3" borderId="51" xfId="2" applyFont="1" applyFill="1" applyBorder="1" applyAlignment="1" applyProtection="1">
      <alignment horizontal="justify" vertical="center" wrapText="1"/>
    </xf>
    <xf numFmtId="0" fontId="46" fillId="3" borderId="5" xfId="2" applyFont="1" applyFill="1" applyBorder="1" applyAlignment="1" applyProtection="1">
      <alignment horizontal="left" vertical="top" wrapText="1"/>
    </xf>
    <xf numFmtId="0" fontId="46" fillId="3" borderId="0" xfId="2" applyFont="1" applyFill="1" applyBorder="1" applyAlignment="1" applyProtection="1">
      <alignment horizontal="left" vertical="top" wrapText="1"/>
    </xf>
    <xf numFmtId="0" fontId="46" fillId="3" borderId="6" xfId="2" applyFont="1" applyFill="1" applyBorder="1" applyAlignment="1" applyProtection="1">
      <alignment horizontal="left" vertical="top" wrapText="1"/>
    </xf>
    <xf numFmtId="0" fontId="51" fillId="3" borderId="57" xfId="0" applyFont="1" applyFill="1" applyBorder="1" applyAlignment="1" applyProtection="1">
      <alignment horizontal="left" vertical="center" wrapText="1"/>
    </xf>
    <xf numFmtId="0" fontId="51" fillId="3" borderId="58" xfId="0" applyFont="1" applyFill="1" applyBorder="1" applyAlignment="1" applyProtection="1">
      <alignment horizontal="left" vertical="center" wrapText="1"/>
    </xf>
    <xf numFmtId="0" fontId="51" fillId="3" borderId="59" xfId="0" applyFont="1" applyFill="1" applyBorder="1" applyAlignment="1" applyProtection="1">
      <alignment horizontal="left" vertical="center" wrapText="1"/>
    </xf>
    <xf numFmtId="0" fontId="51" fillId="3" borderId="60" xfId="0" applyFont="1" applyFill="1" applyBorder="1" applyAlignment="1" applyProtection="1">
      <alignment horizontal="left" vertical="center" wrapText="1"/>
    </xf>
    <xf numFmtId="0" fontId="52" fillId="3" borderId="52" xfId="0" applyFont="1" applyFill="1" applyBorder="1" applyAlignment="1" applyProtection="1">
      <alignment horizontal="justify" vertical="center" wrapText="1"/>
    </xf>
    <xf numFmtId="0" fontId="52" fillId="3" borderId="53" xfId="0" applyFont="1" applyFill="1" applyBorder="1" applyAlignment="1" applyProtection="1">
      <alignment horizontal="justify" vertical="center" wrapText="1"/>
    </xf>
    <xf numFmtId="0" fontId="57" fillId="16" borderId="62" xfId="0" applyFont="1" applyFill="1" applyBorder="1" applyAlignment="1">
      <alignment horizontal="center" vertical="center" wrapText="1"/>
    </xf>
    <xf numFmtId="0" fontId="57" fillId="16" borderId="64" xfId="0" applyFont="1" applyFill="1" applyBorder="1" applyAlignment="1">
      <alignment horizontal="center" vertical="center" wrapText="1"/>
    </xf>
    <xf numFmtId="0" fontId="57" fillId="16" borderId="65" xfId="0" applyFont="1" applyFill="1" applyBorder="1" applyAlignment="1">
      <alignment horizontal="center" vertical="center" wrapText="1"/>
    </xf>
    <xf numFmtId="0" fontId="57" fillId="16" borderId="66" xfId="0" applyFont="1" applyFill="1" applyBorder="1" applyAlignment="1">
      <alignment horizontal="center" vertical="center" wrapText="1"/>
    </xf>
    <xf numFmtId="0" fontId="57" fillId="16" borderId="55"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5" fillId="2" borderId="20" xfId="0" applyFont="1" applyFill="1" applyBorder="1" applyAlignment="1">
      <alignment horizontal="left" vertical="center" wrapText="1"/>
    </xf>
    <xf numFmtId="0" fontId="55" fillId="2" borderId="66" xfId="0" applyFont="1" applyFill="1" applyBorder="1" applyAlignment="1">
      <alignment horizontal="left" vertical="center" wrapText="1"/>
    </xf>
    <xf numFmtId="0" fontId="55" fillId="2" borderId="19" xfId="0" applyFont="1" applyFill="1" applyBorder="1" applyAlignment="1">
      <alignment horizontal="left" vertical="center" wrapText="1"/>
    </xf>
    <xf numFmtId="0" fontId="55" fillId="2" borderId="62" xfId="0" applyFont="1" applyFill="1" applyBorder="1" applyAlignment="1">
      <alignment horizontal="left" vertical="center" wrapText="1"/>
    </xf>
    <xf numFmtId="0" fontId="55" fillId="2" borderId="19" xfId="0" applyFont="1" applyFill="1" applyBorder="1" applyAlignment="1">
      <alignment horizontal="center" vertical="center" textRotation="90" wrapText="1"/>
    </xf>
    <xf numFmtId="0" fontId="55" fillId="2" borderId="19" xfId="0" applyFont="1" applyFill="1" applyBorder="1" applyAlignment="1">
      <alignment horizontal="center" vertical="center" wrapText="1"/>
    </xf>
    <xf numFmtId="0" fontId="55" fillId="2" borderId="20" xfId="0" applyFont="1" applyFill="1" applyBorder="1" applyAlignment="1">
      <alignment horizontal="center" vertical="center" textRotation="90" wrapText="1"/>
    </xf>
    <xf numFmtId="0" fontId="55" fillId="2" borderId="20" xfId="0" applyFont="1" applyFill="1" applyBorder="1" applyAlignment="1">
      <alignment horizontal="center" vertical="center" wrapText="1"/>
    </xf>
    <xf numFmtId="0" fontId="57" fillId="0" borderId="19" xfId="0" applyFont="1" applyBorder="1" applyAlignment="1" applyProtection="1">
      <alignment horizontal="center" vertical="center" wrapText="1"/>
      <protection locked="0"/>
    </xf>
    <xf numFmtId="14" fontId="56" fillId="0" borderId="61" xfId="0" applyNumberFormat="1" applyFont="1" applyBorder="1" applyAlignment="1" applyProtection="1">
      <alignment horizontal="center" vertical="center"/>
      <protection locked="0"/>
    </xf>
    <xf numFmtId="14" fontId="56" fillId="0" borderId="20" xfId="0" applyNumberFormat="1" applyFont="1" applyBorder="1" applyAlignment="1" applyProtection="1">
      <alignment horizontal="center" vertical="center"/>
      <protection locked="0"/>
    </xf>
    <xf numFmtId="9" fontId="57" fillId="0" borderId="19" xfId="0" applyNumberFormat="1" applyFont="1" applyBorder="1" applyAlignment="1" applyProtection="1">
      <alignment horizontal="center" vertical="top" wrapText="1"/>
      <protection hidden="1"/>
    </xf>
    <xf numFmtId="0" fontId="56" fillId="0" borderId="19" xfId="0" applyFont="1" applyBorder="1" applyAlignment="1" applyProtection="1">
      <alignment horizontal="center" vertical="center" wrapText="1"/>
      <protection locked="0"/>
    </xf>
    <xf numFmtId="14" fontId="57" fillId="0" borderId="19" xfId="0" applyNumberFormat="1" applyFont="1" applyBorder="1" applyAlignment="1">
      <alignment horizontal="center" vertical="center" wrapText="1"/>
    </xf>
    <xf numFmtId="9" fontId="56" fillId="0" borderId="19" xfId="0" applyNumberFormat="1" applyFont="1" applyBorder="1" applyAlignment="1" applyProtection="1">
      <alignment horizontal="center" vertical="top" wrapText="1"/>
      <protection hidden="1"/>
    </xf>
    <xf numFmtId="0" fontId="60" fillId="0" borderId="19" xfId="0" applyFont="1" applyBorder="1" applyAlignment="1">
      <alignment horizontal="center" wrapText="1"/>
    </xf>
    <xf numFmtId="0" fontId="56" fillId="0" borderId="19" xfId="0" applyFont="1" applyBorder="1" applyAlignment="1" applyProtection="1">
      <alignment horizontal="center" vertical="top" wrapText="1"/>
    </xf>
    <xf numFmtId="0" fontId="56" fillId="0" borderId="19" xfId="0" applyFont="1" applyBorder="1" applyAlignment="1" applyProtection="1">
      <alignment horizontal="center" vertical="top" wrapText="1"/>
      <protection locked="0"/>
    </xf>
    <xf numFmtId="0" fontId="59" fillId="0" borderId="19" xfId="0" applyFont="1" applyBorder="1" applyAlignment="1" applyProtection="1">
      <alignment horizontal="center" vertical="top" wrapText="1"/>
      <protection locked="0"/>
    </xf>
    <xf numFmtId="0" fontId="58" fillId="0" borderId="19" xfId="0" applyFont="1" applyFill="1" applyBorder="1" applyAlignment="1" applyProtection="1">
      <alignment horizontal="center" vertical="top" wrapText="1"/>
      <protection hidden="1"/>
    </xf>
    <xf numFmtId="0" fontId="57" fillId="0" borderId="19" xfId="0" applyFont="1" applyBorder="1" applyAlignment="1" applyProtection="1">
      <alignment horizontal="center" vertical="center" wrapText="1"/>
    </xf>
    <xf numFmtId="0" fontId="59" fillId="3" borderId="19" xfId="0" applyFont="1" applyFill="1" applyBorder="1" applyAlignment="1" applyProtection="1">
      <alignment horizontal="center" vertical="center" wrapText="1"/>
      <protection locked="0"/>
    </xf>
    <xf numFmtId="0" fontId="55" fillId="0" borderId="19" xfId="0" applyFont="1" applyFill="1" applyBorder="1" applyAlignment="1" applyProtection="1">
      <alignment horizontal="center" vertical="center" textRotation="90" wrapText="1"/>
      <protection hidden="1"/>
    </xf>
    <xf numFmtId="0" fontId="57" fillId="0" borderId="19" xfId="0" applyFont="1" applyBorder="1" applyAlignment="1" applyProtection="1">
      <alignment horizontal="center" vertical="center" textRotation="90" wrapText="1"/>
      <protection locked="0"/>
    </xf>
    <xf numFmtId="9" fontId="57" fillId="0" borderId="19" xfId="0" applyNumberFormat="1" applyFont="1" applyBorder="1" applyAlignment="1" applyProtection="1">
      <alignment horizontal="center" vertical="center" wrapText="1"/>
      <protection hidden="1"/>
    </xf>
    <xf numFmtId="0" fontId="56" fillId="0" borderId="71" xfId="0" applyFont="1" applyBorder="1" applyAlignment="1" applyProtection="1">
      <alignment horizontal="center" vertical="center" wrapText="1"/>
      <protection locked="0"/>
    </xf>
    <xf numFmtId="0" fontId="56" fillId="0" borderId="73" xfId="0" applyFont="1" applyBorder="1" applyAlignment="1" applyProtection="1">
      <alignment horizontal="center" vertical="center" wrapText="1"/>
      <protection locked="0"/>
    </xf>
    <xf numFmtId="0" fontId="56" fillId="0" borderId="75" xfId="0" applyFont="1" applyBorder="1" applyAlignment="1" applyProtection="1">
      <alignment horizontal="center" vertical="center" wrapText="1"/>
      <protection locked="0"/>
    </xf>
    <xf numFmtId="0" fontId="59" fillId="0" borderId="72" xfId="0" applyFont="1" applyBorder="1" applyAlignment="1" applyProtection="1">
      <alignment horizontal="center" vertical="center" wrapText="1"/>
      <protection locked="0"/>
    </xf>
    <xf numFmtId="0" fontId="59" fillId="0" borderId="74" xfId="0" applyFont="1" applyBorder="1" applyAlignment="1" applyProtection="1">
      <alignment horizontal="center" vertical="center" wrapText="1"/>
      <protection locked="0"/>
    </xf>
    <xf numFmtId="0" fontId="59" fillId="0" borderId="76" xfId="0" applyFont="1" applyBorder="1" applyAlignment="1" applyProtection="1">
      <alignment horizontal="center" vertical="center" wrapText="1"/>
      <protection locked="0"/>
    </xf>
    <xf numFmtId="0" fontId="55" fillId="2" borderId="61" xfId="0" applyFont="1" applyFill="1" applyBorder="1" applyAlignment="1">
      <alignment horizontal="center" vertical="center" wrapText="1"/>
    </xf>
    <xf numFmtId="0" fontId="55" fillId="2" borderId="66"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8" fillId="0" borderId="19" xfId="0" applyFont="1" applyBorder="1" applyAlignment="1" applyProtection="1">
      <alignment horizontal="center" vertical="top" wrapText="1"/>
      <protection hidden="1"/>
    </xf>
    <xf numFmtId="9" fontId="56" fillId="0" borderId="19" xfId="0" applyNumberFormat="1" applyFont="1" applyBorder="1" applyAlignment="1" applyProtection="1">
      <alignment horizontal="center" vertical="top" wrapText="1"/>
      <protection locked="0"/>
    </xf>
    <xf numFmtId="0" fontId="55" fillId="0" borderId="19" xfId="0" applyFont="1" applyBorder="1" applyAlignment="1" applyProtection="1">
      <alignment horizontal="center" vertical="center" textRotation="90" wrapText="1"/>
      <protection hidden="1"/>
    </xf>
    <xf numFmtId="0" fontId="56" fillId="3" borderId="0" xfId="0" applyFont="1" applyFill="1" applyBorder="1" applyAlignment="1">
      <alignment horizontal="left" vertical="center" wrapText="1"/>
    </xf>
    <xf numFmtId="9" fontId="57" fillId="0" borderId="19" xfId="0" applyNumberFormat="1" applyFont="1" applyBorder="1" applyAlignment="1" applyProtection="1">
      <alignment horizontal="center" vertical="center" wrapText="1"/>
      <protection locked="0"/>
    </xf>
    <xf numFmtId="0" fontId="57" fillId="0" borderId="19" xfId="0" applyFont="1" applyBorder="1" applyAlignment="1" applyProtection="1">
      <alignment horizontal="center" vertical="center" wrapText="1"/>
      <protection hidden="1"/>
    </xf>
    <xf numFmtId="14" fontId="56" fillId="0" borderId="61" xfId="0" applyNumberFormat="1" applyFont="1" applyBorder="1" applyAlignment="1" applyProtection="1">
      <alignment horizontal="center" vertical="center" wrapText="1"/>
      <protection locked="0"/>
    </xf>
    <xf numFmtId="14" fontId="56" fillId="0" borderId="20" xfId="0" applyNumberFormat="1" applyFont="1" applyBorder="1" applyAlignment="1" applyProtection="1">
      <alignment horizontal="center" vertical="center" wrapText="1"/>
      <protection locked="0"/>
    </xf>
    <xf numFmtId="0" fontId="23" fillId="0" borderId="0" xfId="0" applyFont="1" applyAlignment="1">
      <alignment horizontal="center" vertical="center" wrapText="1"/>
    </xf>
    <xf numFmtId="0" fontId="18" fillId="5" borderId="5"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0"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0"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40" fillId="0" borderId="3" xfId="0" applyFont="1" applyBorder="1" applyAlignment="1">
      <alignment horizontal="center" vertical="center" wrapText="1"/>
    </xf>
    <xf numFmtId="0" fontId="40" fillId="0" borderId="10"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wrapText="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0"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0" xfId="0" applyFont="1" applyBorder="1" applyAlignment="1">
      <alignment horizontal="center" vertical="center"/>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0"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0"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0"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1" xfId="0" applyFont="1" applyFill="1" applyBorder="1" applyAlignment="1">
      <alignment horizontal="center" vertical="center" wrapText="1" readingOrder="1"/>
    </xf>
    <xf numFmtId="0" fontId="37" fillId="15" borderId="22" xfId="0" applyFont="1" applyFill="1" applyBorder="1" applyAlignment="1">
      <alignment horizontal="center" vertical="center" wrapText="1" readingOrder="1"/>
    </xf>
    <xf numFmtId="0" fontId="37" fillId="15" borderId="33" xfId="0" applyFont="1" applyFill="1" applyBorder="1" applyAlignment="1">
      <alignment horizontal="center" vertical="center" wrapText="1" readingOrder="1"/>
    </xf>
    <xf numFmtId="0" fontId="32" fillId="3" borderId="0" xfId="0" applyFont="1" applyFill="1" applyBorder="1" applyAlignment="1">
      <alignment horizontal="justify" vertical="center" wrapText="1"/>
    </xf>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0"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57" fillId="3" borderId="38" xfId="0" applyFont="1" applyFill="1" applyBorder="1" applyAlignment="1">
      <alignment wrapText="1"/>
    </xf>
    <xf numFmtId="0" fontId="57" fillId="3" borderId="67" xfId="0" applyFont="1" applyFill="1" applyBorder="1" applyAlignment="1">
      <alignment wrapText="1"/>
    </xf>
    <xf numFmtId="0" fontId="57" fillId="3" borderId="0" xfId="0" applyFont="1" applyFill="1" applyBorder="1" applyAlignment="1">
      <alignment wrapText="1"/>
    </xf>
    <xf numFmtId="0" fontId="57" fillId="3" borderId="69" xfId="0" applyFont="1" applyFill="1" applyBorder="1" applyAlignment="1">
      <alignment wrapText="1"/>
    </xf>
    <xf numFmtId="0" fontId="57" fillId="3" borderId="55" xfId="0" applyFont="1" applyFill="1" applyBorder="1" applyAlignment="1">
      <alignment wrapText="1"/>
    </xf>
    <xf numFmtId="0" fontId="57" fillId="3" borderId="63" xfId="0" applyFont="1" applyFill="1" applyBorder="1" applyAlignment="1">
      <alignment wrapText="1"/>
    </xf>
    <xf numFmtId="0" fontId="6" fillId="3" borderId="77" xfId="0" applyFont="1" applyFill="1" applyBorder="1" applyAlignment="1">
      <alignment horizontal="center" wrapText="1"/>
    </xf>
    <xf numFmtId="0" fontId="6" fillId="3" borderId="38" xfId="0" applyFont="1" applyFill="1" applyBorder="1" applyAlignment="1">
      <alignment horizontal="center" wrapText="1"/>
    </xf>
    <xf numFmtId="0" fontId="6" fillId="3" borderId="67" xfId="0" applyFont="1" applyFill="1" applyBorder="1" applyAlignment="1">
      <alignment horizontal="center" wrapText="1"/>
    </xf>
    <xf numFmtId="0" fontId="63" fillId="3" borderId="68" xfId="0" applyFont="1" applyFill="1" applyBorder="1" applyAlignment="1">
      <alignment horizontal="center" wrapText="1"/>
    </xf>
    <xf numFmtId="0" fontId="63" fillId="3" borderId="0" xfId="0" applyFont="1" applyFill="1" applyAlignment="1">
      <alignment horizontal="center" wrapText="1"/>
    </xf>
    <xf numFmtId="0" fontId="63" fillId="3" borderId="69" xfId="0" applyFont="1" applyFill="1" applyBorder="1" applyAlignment="1">
      <alignment horizontal="center" wrapText="1"/>
    </xf>
    <xf numFmtId="0" fontId="63" fillId="3" borderId="66" xfId="0" applyFont="1" applyFill="1" applyBorder="1" applyAlignment="1">
      <alignment horizontal="center" wrapText="1"/>
    </xf>
    <xf numFmtId="0" fontId="63" fillId="3" borderId="55" xfId="0" applyFont="1" applyFill="1" applyBorder="1" applyAlignment="1">
      <alignment horizontal="center" wrapText="1"/>
    </xf>
    <xf numFmtId="0" fontId="63" fillId="3" borderId="63" xfId="0" applyFont="1" applyFill="1" applyBorder="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1541056</xdr:colOff>
      <xdr:row>2</xdr:row>
      <xdr:rowOff>12124</xdr:rowOff>
    </xdr:from>
    <xdr:to>
      <xdr:col>35</xdr:col>
      <xdr:colOff>99580</xdr:colOff>
      <xdr:row>5</xdr:row>
      <xdr:rowOff>303068</xdr:rowOff>
    </xdr:to>
    <xdr:pic>
      <xdr:nvPicPr>
        <xdr:cNvPr id="2" name="Imagen 1">
          <a:extLst>
            <a:ext uri="{FF2B5EF4-FFF2-40B4-BE49-F238E27FC236}">
              <a16:creationId xmlns:a16="http://schemas.microsoft.com/office/drawing/2014/main" id="{CA1E5BFF-7641-47A4-829A-4363A7C0C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17136" y="531669"/>
          <a:ext cx="6979489" cy="1459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FINANCIER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1" zoomScale="110" zoomScaleNormal="110" workbookViewId="0">
      <selection activeCell="E36" sqref="E36:F36"/>
    </sheetView>
  </sheetViews>
  <sheetFormatPr baseColWidth="10" defaultColWidth="11.42578125" defaultRowHeight="15" x14ac:dyDescent="0.25"/>
  <cols>
    <col min="1" max="1" width="2.85546875" style="70" customWidth="1"/>
    <col min="2" max="3" width="24.7109375" style="70" customWidth="1"/>
    <col min="4" max="4" width="16" style="70" customWidth="1"/>
    <col min="5" max="5" width="24.7109375" style="70" customWidth="1"/>
    <col min="6" max="6" width="27.7109375" style="70" customWidth="1"/>
    <col min="7" max="8" width="24.7109375" style="70" customWidth="1"/>
    <col min="9" max="16384" width="11.42578125" style="70"/>
  </cols>
  <sheetData>
    <row r="1" spans="2:8" ht="15.75" thickBot="1" x14ac:dyDescent="0.3"/>
    <row r="2" spans="2:8" ht="18" x14ac:dyDescent="0.25">
      <c r="B2" s="223" t="s">
        <v>165</v>
      </c>
      <c r="C2" s="224"/>
      <c r="D2" s="224"/>
      <c r="E2" s="224"/>
      <c r="F2" s="224"/>
      <c r="G2" s="224"/>
      <c r="H2" s="225"/>
    </row>
    <row r="3" spans="2:8" x14ac:dyDescent="0.25">
      <c r="B3" s="71"/>
      <c r="C3" s="72"/>
      <c r="D3" s="72"/>
      <c r="E3" s="72"/>
      <c r="F3" s="72"/>
      <c r="G3" s="72"/>
      <c r="H3" s="73"/>
    </row>
    <row r="4" spans="2:8" ht="63" customHeight="1" x14ac:dyDescent="0.25">
      <c r="B4" s="226" t="s">
        <v>208</v>
      </c>
      <c r="C4" s="227"/>
      <c r="D4" s="227"/>
      <c r="E4" s="227"/>
      <c r="F4" s="227"/>
      <c r="G4" s="227"/>
      <c r="H4" s="228"/>
    </row>
    <row r="5" spans="2:8" ht="63" customHeight="1" x14ac:dyDescent="0.25">
      <c r="B5" s="229"/>
      <c r="C5" s="230"/>
      <c r="D5" s="230"/>
      <c r="E5" s="230"/>
      <c r="F5" s="230"/>
      <c r="G5" s="230"/>
      <c r="H5" s="231"/>
    </row>
    <row r="6" spans="2:8" ht="16.5" x14ac:dyDescent="0.25">
      <c r="B6" s="232" t="s">
        <v>163</v>
      </c>
      <c r="C6" s="233"/>
      <c r="D6" s="233"/>
      <c r="E6" s="233"/>
      <c r="F6" s="233"/>
      <c r="G6" s="233"/>
      <c r="H6" s="234"/>
    </row>
    <row r="7" spans="2:8" ht="95.25" customHeight="1" x14ac:dyDescent="0.25">
      <c r="B7" s="242" t="s">
        <v>168</v>
      </c>
      <c r="C7" s="243"/>
      <c r="D7" s="243"/>
      <c r="E7" s="243"/>
      <c r="F7" s="243"/>
      <c r="G7" s="243"/>
      <c r="H7" s="244"/>
    </row>
    <row r="8" spans="2:8" ht="16.5" x14ac:dyDescent="0.25">
      <c r="B8" s="108"/>
      <c r="C8" s="109"/>
      <c r="D8" s="109"/>
      <c r="E8" s="109"/>
      <c r="F8" s="109"/>
      <c r="G8" s="109"/>
      <c r="H8" s="110"/>
    </row>
    <row r="9" spans="2:8" ht="16.5" customHeight="1" x14ac:dyDescent="0.25">
      <c r="B9" s="235" t="s">
        <v>201</v>
      </c>
      <c r="C9" s="236"/>
      <c r="D9" s="236"/>
      <c r="E9" s="236"/>
      <c r="F9" s="236"/>
      <c r="G9" s="236"/>
      <c r="H9" s="237"/>
    </row>
    <row r="10" spans="2:8" ht="44.25" customHeight="1" x14ac:dyDescent="0.25">
      <c r="B10" s="235"/>
      <c r="C10" s="236"/>
      <c r="D10" s="236"/>
      <c r="E10" s="236"/>
      <c r="F10" s="236"/>
      <c r="G10" s="236"/>
      <c r="H10" s="237"/>
    </row>
    <row r="11" spans="2:8" ht="15.75" thickBot="1" x14ac:dyDescent="0.3">
      <c r="B11" s="96"/>
      <c r="C11" s="99"/>
      <c r="D11" s="104"/>
      <c r="E11" s="105"/>
      <c r="F11" s="105"/>
      <c r="G11" s="106"/>
      <c r="H11" s="107"/>
    </row>
    <row r="12" spans="2:8" ht="15.75" thickTop="1" x14ac:dyDescent="0.25">
      <c r="B12" s="96"/>
      <c r="C12" s="238" t="s">
        <v>164</v>
      </c>
      <c r="D12" s="239"/>
      <c r="E12" s="240" t="s">
        <v>202</v>
      </c>
      <c r="F12" s="241"/>
      <c r="G12" s="99"/>
      <c r="H12" s="100"/>
    </row>
    <row r="13" spans="2:8" ht="35.25" customHeight="1" x14ac:dyDescent="0.25">
      <c r="B13" s="96"/>
      <c r="C13" s="245" t="s">
        <v>195</v>
      </c>
      <c r="D13" s="246"/>
      <c r="E13" s="247" t="s">
        <v>200</v>
      </c>
      <c r="F13" s="248"/>
      <c r="G13" s="99"/>
      <c r="H13" s="100"/>
    </row>
    <row r="14" spans="2:8" ht="17.25" customHeight="1" x14ac:dyDescent="0.25">
      <c r="B14" s="96"/>
      <c r="C14" s="245" t="s">
        <v>196</v>
      </c>
      <c r="D14" s="246"/>
      <c r="E14" s="247" t="s">
        <v>198</v>
      </c>
      <c r="F14" s="248"/>
      <c r="G14" s="99"/>
      <c r="H14" s="100"/>
    </row>
    <row r="15" spans="2:8" ht="19.5" customHeight="1" x14ac:dyDescent="0.25">
      <c r="B15" s="96"/>
      <c r="C15" s="245" t="s">
        <v>197</v>
      </c>
      <c r="D15" s="246"/>
      <c r="E15" s="247" t="s">
        <v>199</v>
      </c>
      <c r="F15" s="248"/>
      <c r="G15" s="99"/>
      <c r="H15" s="100"/>
    </row>
    <row r="16" spans="2:8" ht="69.75" customHeight="1" x14ac:dyDescent="0.25">
      <c r="B16" s="96"/>
      <c r="C16" s="245" t="s">
        <v>166</v>
      </c>
      <c r="D16" s="246"/>
      <c r="E16" s="247" t="s">
        <v>167</v>
      </c>
      <c r="F16" s="248"/>
      <c r="G16" s="99"/>
      <c r="H16" s="100"/>
    </row>
    <row r="17" spans="2:8" ht="34.5" customHeight="1" x14ac:dyDescent="0.25">
      <c r="B17" s="96"/>
      <c r="C17" s="249" t="s">
        <v>2</v>
      </c>
      <c r="D17" s="250"/>
      <c r="E17" s="251" t="s">
        <v>209</v>
      </c>
      <c r="F17" s="252"/>
      <c r="G17" s="99"/>
      <c r="H17" s="100"/>
    </row>
    <row r="18" spans="2:8" ht="27.75" customHeight="1" x14ac:dyDescent="0.25">
      <c r="B18" s="96"/>
      <c r="C18" s="249" t="s">
        <v>3</v>
      </c>
      <c r="D18" s="250"/>
      <c r="E18" s="251" t="s">
        <v>210</v>
      </c>
      <c r="F18" s="252"/>
      <c r="G18" s="99"/>
      <c r="H18" s="100"/>
    </row>
    <row r="19" spans="2:8" ht="28.5" customHeight="1" x14ac:dyDescent="0.25">
      <c r="B19" s="96"/>
      <c r="C19" s="249" t="s">
        <v>42</v>
      </c>
      <c r="D19" s="250"/>
      <c r="E19" s="251" t="s">
        <v>211</v>
      </c>
      <c r="F19" s="252"/>
      <c r="G19" s="99"/>
      <c r="H19" s="100"/>
    </row>
    <row r="20" spans="2:8" ht="72.75" customHeight="1" x14ac:dyDescent="0.25">
      <c r="B20" s="96"/>
      <c r="C20" s="249" t="s">
        <v>1</v>
      </c>
      <c r="D20" s="250"/>
      <c r="E20" s="251" t="s">
        <v>212</v>
      </c>
      <c r="F20" s="252"/>
      <c r="G20" s="99"/>
      <c r="H20" s="100"/>
    </row>
    <row r="21" spans="2:8" ht="64.5" customHeight="1" x14ac:dyDescent="0.25">
      <c r="B21" s="96"/>
      <c r="C21" s="249" t="s">
        <v>50</v>
      </c>
      <c r="D21" s="250"/>
      <c r="E21" s="251" t="s">
        <v>170</v>
      </c>
      <c r="F21" s="252"/>
      <c r="G21" s="99"/>
      <c r="H21" s="100"/>
    </row>
    <row r="22" spans="2:8" ht="71.25" customHeight="1" x14ac:dyDescent="0.25">
      <c r="B22" s="96"/>
      <c r="C22" s="249" t="s">
        <v>169</v>
      </c>
      <c r="D22" s="250"/>
      <c r="E22" s="251" t="s">
        <v>171</v>
      </c>
      <c r="F22" s="252"/>
      <c r="G22" s="99"/>
      <c r="H22" s="100"/>
    </row>
    <row r="23" spans="2:8" ht="55.5" customHeight="1" x14ac:dyDescent="0.25">
      <c r="B23" s="96"/>
      <c r="C23" s="256" t="s">
        <v>172</v>
      </c>
      <c r="D23" s="257"/>
      <c r="E23" s="251" t="s">
        <v>173</v>
      </c>
      <c r="F23" s="252"/>
      <c r="G23" s="99"/>
      <c r="H23" s="100"/>
    </row>
    <row r="24" spans="2:8" ht="42" customHeight="1" x14ac:dyDescent="0.25">
      <c r="B24" s="96"/>
      <c r="C24" s="256" t="s">
        <v>48</v>
      </c>
      <c r="D24" s="257"/>
      <c r="E24" s="251" t="s">
        <v>174</v>
      </c>
      <c r="F24" s="252"/>
      <c r="G24" s="99"/>
      <c r="H24" s="100"/>
    </row>
    <row r="25" spans="2:8" ht="59.25" customHeight="1" x14ac:dyDescent="0.25">
      <c r="B25" s="96"/>
      <c r="C25" s="256" t="s">
        <v>162</v>
      </c>
      <c r="D25" s="257"/>
      <c r="E25" s="251" t="s">
        <v>175</v>
      </c>
      <c r="F25" s="252"/>
      <c r="G25" s="99"/>
      <c r="H25" s="100"/>
    </row>
    <row r="26" spans="2:8" ht="23.25" customHeight="1" x14ac:dyDescent="0.25">
      <c r="B26" s="96"/>
      <c r="C26" s="256" t="s">
        <v>12</v>
      </c>
      <c r="D26" s="257"/>
      <c r="E26" s="251" t="s">
        <v>176</v>
      </c>
      <c r="F26" s="252"/>
      <c r="G26" s="99"/>
      <c r="H26" s="100"/>
    </row>
    <row r="27" spans="2:8" ht="30.75" customHeight="1" x14ac:dyDescent="0.25">
      <c r="B27" s="96"/>
      <c r="C27" s="256" t="s">
        <v>180</v>
      </c>
      <c r="D27" s="257"/>
      <c r="E27" s="251" t="s">
        <v>177</v>
      </c>
      <c r="F27" s="252"/>
      <c r="G27" s="99"/>
      <c r="H27" s="100"/>
    </row>
    <row r="28" spans="2:8" ht="35.25" customHeight="1" x14ac:dyDescent="0.25">
      <c r="B28" s="96"/>
      <c r="C28" s="256" t="s">
        <v>181</v>
      </c>
      <c r="D28" s="257"/>
      <c r="E28" s="251" t="s">
        <v>178</v>
      </c>
      <c r="F28" s="252"/>
      <c r="G28" s="99"/>
      <c r="H28" s="100"/>
    </row>
    <row r="29" spans="2:8" ht="33" customHeight="1" x14ac:dyDescent="0.25">
      <c r="B29" s="96"/>
      <c r="C29" s="256" t="s">
        <v>181</v>
      </c>
      <c r="D29" s="257"/>
      <c r="E29" s="251" t="s">
        <v>178</v>
      </c>
      <c r="F29" s="252"/>
      <c r="G29" s="99"/>
      <c r="H29" s="100"/>
    </row>
    <row r="30" spans="2:8" ht="30" customHeight="1" x14ac:dyDescent="0.25">
      <c r="B30" s="96"/>
      <c r="C30" s="256" t="s">
        <v>182</v>
      </c>
      <c r="D30" s="257"/>
      <c r="E30" s="251" t="s">
        <v>179</v>
      </c>
      <c r="F30" s="252"/>
      <c r="G30" s="99"/>
      <c r="H30" s="100"/>
    </row>
    <row r="31" spans="2:8" ht="35.25" customHeight="1" x14ac:dyDescent="0.25">
      <c r="B31" s="96"/>
      <c r="C31" s="256" t="s">
        <v>183</v>
      </c>
      <c r="D31" s="257"/>
      <c r="E31" s="251" t="s">
        <v>184</v>
      </c>
      <c r="F31" s="252"/>
      <c r="G31" s="99"/>
      <c r="H31" s="100"/>
    </row>
    <row r="32" spans="2:8" ht="31.5" customHeight="1" x14ac:dyDescent="0.25">
      <c r="B32" s="96"/>
      <c r="C32" s="256" t="s">
        <v>185</v>
      </c>
      <c r="D32" s="257"/>
      <c r="E32" s="251" t="s">
        <v>186</v>
      </c>
      <c r="F32" s="252"/>
      <c r="G32" s="99"/>
      <c r="H32" s="100"/>
    </row>
    <row r="33" spans="2:8" ht="35.25" customHeight="1" x14ac:dyDescent="0.25">
      <c r="B33" s="96"/>
      <c r="C33" s="256" t="s">
        <v>187</v>
      </c>
      <c r="D33" s="257"/>
      <c r="E33" s="251" t="s">
        <v>188</v>
      </c>
      <c r="F33" s="252"/>
      <c r="G33" s="99"/>
      <c r="H33" s="100"/>
    </row>
    <row r="34" spans="2:8" ht="59.25" customHeight="1" x14ac:dyDescent="0.25">
      <c r="B34" s="96"/>
      <c r="C34" s="256" t="s">
        <v>189</v>
      </c>
      <c r="D34" s="257"/>
      <c r="E34" s="251" t="s">
        <v>190</v>
      </c>
      <c r="F34" s="252"/>
      <c r="G34" s="99"/>
      <c r="H34" s="100"/>
    </row>
    <row r="35" spans="2:8" ht="29.25" customHeight="1" x14ac:dyDescent="0.25">
      <c r="B35" s="96"/>
      <c r="C35" s="256" t="s">
        <v>29</v>
      </c>
      <c r="D35" s="257"/>
      <c r="E35" s="251" t="s">
        <v>191</v>
      </c>
      <c r="F35" s="252"/>
      <c r="G35" s="99"/>
      <c r="H35" s="100"/>
    </row>
    <row r="36" spans="2:8" ht="82.5" customHeight="1" x14ac:dyDescent="0.25">
      <c r="B36" s="96"/>
      <c r="C36" s="256" t="s">
        <v>193</v>
      </c>
      <c r="D36" s="257"/>
      <c r="E36" s="251" t="s">
        <v>192</v>
      </c>
      <c r="F36" s="252"/>
      <c r="G36" s="99"/>
      <c r="H36" s="100"/>
    </row>
    <row r="37" spans="2:8" ht="46.5" customHeight="1" x14ac:dyDescent="0.25">
      <c r="B37" s="96"/>
      <c r="C37" s="256" t="s">
        <v>39</v>
      </c>
      <c r="D37" s="257"/>
      <c r="E37" s="251" t="s">
        <v>194</v>
      </c>
      <c r="F37" s="252"/>
      <c r="G37" s="99"/>
      <c r="H37" s="100"/>
    </row>
    <row r="38" spans="2:8" ht="6.75" customHeight="1" thickBot="1" x14ac:dyDescent="0.3">
      <c r="B38" s="96"/>
      <c r="C38" s="258"/>
      <c r="D38" s="259"/>
      <c r="E38" s="260"/>
      <c r="F38" s="261"/>
      <c r="G38" s="99"/>
      <c r="H38" s="100"/>
    </row>
    <row r="39" spans="2:8" ht="15.75" thickTop="1" x14ac:dyDescent="0.25">
      <c r="B39" s="96"/>
      <c r="C39" s="97"/>
      <c r="D39" s="97"/>
      <c r="E39" s="98"/>
      <c r="F39" s="98"/>
      <c r="G39" s="99"/>
      <c r="H39" s="100"/>
    </row>
    <row r="40" spans="2:8" ht="21" customHeight="1" x14ac:dyDescent="0.25">
      <c r="B40" s="253" t="s">
        <v>203</v>
      </c>
      <c r="C40" s="254"/>
      <c r="D40" s="254"/>
      <c r="E40" s="254"/>
      <c r="F40" s="254"/>
      <c r="G40" s="254"/>
      <c r="H40" s="255"/>
    </row>
    <row r="41" spans="2:8" ht="20.25" customHeight="1" x14ac:dyDescent="0.25">
      <c r="B41" s="253" t="s">
        <v>204</v>
      </c>
      <c r="C41" s="254"/>
      <c r="D41" s="254"/>
      <c r="E41" s="254"/>
      <c r="F41" s="254"/>
      <c r="G41" s="254"/>
      <c r="H41" s="255"/>
    </row>
    <row r="42" spans="2:8" ht="20.25" customHeight="1" x14ac:dyDescent="0.25">
      <c r="B42" s="253" t="s">
        <v>205</v>
      </c>
      <c r="C42" s="254"/>
      <c r="D42" s="254"/>
      <c r="E42" s="254"/>
      <c r="F42" s="254"/>
      <c r="G42" s="254"/>
      <c r="H42" s="255"/>
    </row>
    <row r="43" spans="2:8" ht="20.25" customHeight="1" x14ac:dyDescent="0.25">
      <c r="B43" s="253" t="s">
        <v>206</v>
      </c>
      <c r="C43" s="254"/>
      <c r="D43" s="254"/>
      <c r="E43" s="254"/>
      <c r="F43" s="254"/>
      <c r="G43" s="254"/>
      <c r="H43" s="255"/>
    </row>
    <row r="44" spans="2:8" x14ac:dyDescent="0.25">
      <c r="B44" s="253" t="s">
        <v>207</v>
      </c>
      <c r="C44" s="254"/>
      <c r="D44" s="254"/>
      <c r="E44" s="254"/>
      <c r="F44" s="254"/>
      <c r="G44" s="254"/>
      <c r="H44" s="255"/>
    </row>
    <row r="45" spans="2:8" ht="15.75" thickBot="1" x14ac:dyDescent="0.3">
      <c r="B45" s="101"/>
      <c r="C45" s="102"/>
      <c r="D45" s="102"/>
      <c r="E45" s="102"/>
      <c r="F45" s="102"/>
      <c r="G45" s="102"/>
      <c r="H45" s="10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J77"/>
  <sheetViews>
    <sheetView tabSelected="1" view="pageBreakPreview" topLeftCell="P1" zoomScale="44" zoomScaleNormal="44" zoomScaleSheetLayoutView="44" workbookViewId="0">
      <selection activeCell="AB8" sqref="AB8:AB9"/>
    </sheetView>
  </sheetViews>
  <sheetFormatPr baseColWidth="10" defaultColWidth="11.42578125" defaultRowHeight="22.5" outlineLevelRow="1" x14ac:dyDescent="0.35"/>
  <cols>
    <col min="1" max="1" width="5.28515625" style="198" bestFit="1" customWidth="1"/>
    <col min="2" max="2" width="24.140625" style="198" customWidth="1"/>
    <col min="3" max="3" width="35.85546875" style="198" customWidth="1"/>
    <col min="4" max="4" width="34.85546875" style="198" customWidth="1"/>
    <col min="5" max="5" width="61.85546875" style="111" customWidth="1"/>
    <col min="6" max="6" width="30.85546875" style="199" customWidth="1"/>
    <col min="7" max="7" width="25.85546875" style="111" customWidth="1"/>
    <col min="8" max="8" width="23.7109375" style="111" customWidth="1"/>
    <col min="9" max="9" width="10.140625" style="111" customWidth="1"/>
    <col min="10" max="10" width="26.42578125" style="111" customWidth="1"/>
    <col min="11" max="11" width="30.5703125" style="111" hidden="1" customWidth="1"/>
    <col min="12" max="12" width="20.7109375" style="111" customWidth="1"/>
    <col min="13" max="13" width="12" style="111" customWidth="1"/>
    <col min="14" max="14" width="20.85546875" style="111" customWidth="1"/>
    <col min="15" max="15" width="13.28515625" style="111" customWidth="1"/>
    <col min="16" max="16" width="81.7109375" style="111" customWidth="1"/>
    <col min="17" max="17" width="28.28515625" style="111" customWidth="1"/>
    <col min="18" max="18" width="6.85546875" style="111" customWidth="1"/>
    <col min="19" max="19" width="5" style="111" customWidth="1"/>
    <col min="20" max="20" width="10.85546875" style="111" customWidth="1"/>
    <col min="21" max="21" width="7.140625" style="111" customWidth="1"/>
    <col min="22" max="22" width="6.7109375" style="111" customWidth="1"/>
    <col min="23" max="23" width="7.5703125" style="111" customWidth="1"/>
    <col min="24" max="24" width="38.28515625" style="111" hidden="1" customWidth="1"/>
    <col min="25" max="25" width="10.5703125" style="111" customWidth="1"/>
    <col min="26" max="26" width="12.28515625" style="111" customWidth="1"/>
    <col min="27" max="27" width="11.42578125" style="111" customWidth="1"/>
    <col min="28" max="28" width="12.7109375" style="111" customWidth="1"/>
    <col min="29" max="30" width="8.42578125" style="111" customWidth="1"/>
    <col min="31" max="31" width="46.85546875" style="111" customWidth="1"/>
    <col min="32" max="32" width="26.7109375" style="111" customWidth="1"/>
    <col min="33" max="33" width="29.5703125" style="111" customWidth="1"/>
    <col min="34" max="34" width="27.7109375" style="111" customWidth="1"/>
    <col min="35" max="35" width="42.5703125" style="111" customWidth="1"/>
    <col min="36" max="36" width="19.85546875" style="111" customWidth="1"/>
    <col min="37" max="16384" width="11.42578125" style="111"/>
  </cols>
  <sheetData>
    <row r="1" spans="1:36" ht="16.5" customHeight="1" x14ac:dyDescent="0.35">
      <c r="A1" s="273" t="s">
        <v>143</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row>
    <row r="2" spans="1:36" ht="24" customHeight="1" x14ac:dyDescent="0.35">
      <c r="A2" s="299"/>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row>
    <row r="3" spans="1:36" s="118" customFormat="1" ht="23.25" x14ac:dyDescent="0.35">
      <c r="A3" s="112"/>
      <c r="B3" s="113"/>
      <c r="C3" s="114"/>
      <c r="D3" s="114"/>
      <c r="E3" s="115"/>
      <c r="F3" s="116"/>
      <c r="G3" s="115"/>
      <c r="H3" s="115"/>
      <c r="I3" s="115"/>
      <c r="J3" s="115"/>
      <c r="K3" s="115"/>
      <c r="L3" s="115"/>
      <c r="M3" s="115"/>
      <c r="N3" s="115"/>
      <c r="O3" s="115"/>
      <c r="P3" s="115"/>
      <c r="Q3" s="117"/>
      <c r="R3" s="468" t="s">
        <v>236</v>
      </c>
      <c r="S3" s="469"/>
      <c r="T3" s="469"/>
      <c r="U3" s="469"/>
      <c r="V3" s="469"/>
      <c r="W3" s="469"/>
      <c r="X3" s="469"/>
      <c r="Y3" s="469"/>
      <c r="Z3" s="469"/>
      <c r="AA3" s="469"/>
      <c r="AB3" s="469"/>
      <c r="AC3" s="469"/>
      <c r="AD3" s="469"/>
      <c r="AE3" s="470"/>
      <c r="AF3" s="462"/>
      <c r="AG3" s="462"/>
      <c r="AH3" s="462"/>
      <c r="AI3" s="462"/>
      <c r="AJ3" s="463"/>
    </row>
    <row r="4" spans="1:36" ht="26.25" customHeight="1" x14ac:dyDescent="0.35">
      <c r="A4" s="268" t="s">
        <v>43</v>
      </c>
      <c r="B4" s="269"/>
      <c r="C4" s="265" t="s">
        <v>216</v>
      </c>
      <c r="D4" s="266"/>
      <c r="E4" s="266"/>
      <c r="F4" s="266"/>
      <c r="G4" s="266"/>
      <c r="H4" s="266"/>
      <c r="I4" s="266"/>
      <c r="J4" s="266"/>
      <c r="K4" s="266"/>
      <c r="L4" s="266"/>
      <c r="M4" s="266"/>
      <c r="N4" s="266"/>
      <c r="O4" s="266"/>
      <c r="P4" s="266"/>
      <c r="Q4" s="267"/>
      <c r="R4" s="471" t="s">
        <v>237</v>
      </c>
      <c r="S4" s="472"/>
      <c r="T4" s="472"/>
      <c r="U4" s="472"/>
      <c r="V4" s="472"/>
      <c r="W4" s="472"/>
      <c r="X4" s="472"/>
      <c r="Y4" s="472"/>
      <c r="Z4" s="472"/>
      <c r="AA4" s="472"/>
      <c r="AB4" s="472"/>
      <c r="AC4" s="472"/>
      <c r="AD4" s="472"/>
      <c r="AE4" s="473"/>
      <c r="AF4" s="464"/>
      <c r="AG4" s="464"/>
      <c r="AH4" s="464"/>
      <c r="AI4" s="464"/>
      <c r="AJ4" s="465"/>
    </row>
    <row r="5" spans="1:36" ht="43.9" customHeight="1" x14ac:dyDescent="0.35">
      <c r="A5" s="270" t="s">
        <v>130</v>
      </c>
      <c r="B5" s="271"/>
      <c r="C5" s="262" t="s">
        <v>217</v>
      </c>
      <c r="D5" s="263"/>
      <c r="E5" s="263"/>
      <c r="F5" s="263"/>
      <c r="G5" s="263"/>
      <c r="H5" s="263"/>
      <c r="I5" s="263"/>
      <c r="J5" s="263"/>
      <c r="K5" s="263"/>
      <c r="L5" s="263"/>
      <c r="M5" s="263"/>
      <c r="N5" s="263"/>
      <c r="O5" s="263"/>
      <c r="P5" s="263"/>
      <c r="Q5" s="264"/>
      <c r="R5" s="471" t="s">
        <v>238</v>
      </c>
      <c r="S5" s="472"/>
      <c r="T5" s="472"/>
      <c r="U5" s="472"/>
      <c r="V5" s="472"/>
      <c r="W5" s="472"/>
      <c r="X5" s="472"/>
      <c r="Y5" s="472"/>
      <c r="Z5" s="472"/>
      <c r="AA5" s="472"/>
      <c r="AB5" s="472"/>
      <c r="AC5" s="472"/>
      <c r="AD5" s="472"/>
      <c r="AE5" s="473"/>
      <c r="AF5" s="464"/>
      <c r="AG5" s="464"/>
      <c r="AH5" s="464"/>
      <c r="AI5" s="464"/>
      <c r="AJ5" s="465"/>
    </row>
    <row r="6" spans="1:36" ht="49.5" customHeight="1" x14ac:dyDescent="0.35">
      <c r="A6" s="270" t="s">
        <v>44</v>
      </c>
      <c r="B6" s="271"/>
      <c r="C6" s="262" t="s">
        <v>218</v>
      </c>
      <c r="D6" s="263"/>
      <c r="E6" s="263"/>
      <c r="F6" s="263"/>
      <c r="G6" s="263"/>
      <c r="H6" s="263"/>
      <c r="I6" s="263"/>
      <c r="J6" s="263"/>
      <c r="K6" s="263"/>
      <c r="L6" s="263"/>
      <c r="M6" s="263"/>
      <c r="N6" s="263"/>
      <c r="O6" s="263"/>
      <c r="P6" s="263"/>
      <c r="Q6" s="264"/>
      <c r="R6" s="474" t="s">
        <v>239</v>
      </c>
      <c r="S6" s="475"/>
      <c r="T6" s="475"/>
      <c r="U6" s="475"/>
      <c r="V6" s="475"/>
      <c r="W6" s="475"/>
      <c r="X6" s="475"/>
      <c r="Y6" s="475"/>
      <c r="Z6" s="475"/>
      <c r="AA6" s="475"/>
      <c r="AB6" s="475"/>
      <c r="AC6" s="475"/>
      <c r="AD6" s="475"/>
      <c r="AE6" s="476"/>
      <c r="AF6" s="466"/>
      <c r="AG6" s="466"/>
      <c r="AH6" s="466"/>
      <c r="AI6" s="466"/>
      <c r="AJ6" s="467"/>
    </row>
    <row r="7" spans="1:36" x14ac:dyDescent="0.35">
      <c r="A7" s="273" t="s">
        <v>138</v>
      </c>
      <c r="B7" s="273"/>
      <c r="C7" s="275"/>
      <c r="D7" s="275"/>
      <c r="E7" s="275"/>
      <c r="F7" s="275"/>
      <c r="G7" s="275"/>
      <c r="H7" s="275" t="s">
        <v>139</v>
      </c>
      <c r="I7" s="275"/>
      <c r="J7" s="275"/>
      <c r="K7" s="275"/>
      <c r="L7" s="275"/>
      <c r="M7" s="275"/>
      <c r="N7" s="300"/>
      <c r="O7" s="273" t="s">
        <v>140</v>
      </c>
      <c r="P7" s="273"/>
      <c r="Q7" s="273"/>
      <c r="R7" s="273"/>
      <c r="S7" s="273"/>
      <c r="T7" s="273"/>
      <c r="U7" s="273"/>
      <c r="V7" s="273"/>
      <c r="W7" s="273"/>
      <c r="X7" s="301" t="s">
        <v>141</v>
      </c>
      <c r="Y7" s="301"/>
      <c r="Z7" s="301"/>
      <c r="AA7" s="301"/>
      <c r="AB7" s="301"/>
      <c r="AC7" s="301"/>
      <c r="AD7" s="301"/>
      <c r="AE7" s="301" t="s">
        <v>34</v>
      </c>
      <c r="AF7" s="301"/>
      <c r="AG7" s="301"/>
      <c r="AH7" s="301"/>
      <c r="AI7" s="301"/>
      <c r="AJ7" s="301"/>
    </row>
    <row r="8" spans="1:36" ht="16.5" customHeight="1" x14ac:dyDescent="0.35">
      <c r="A8" s="272" t="s">
        <v>0</v>
      </c>
      <c r="B8" s="273" t="s">
        <v>2</v>
      </c>
      <c r="C8" s="273" t="s">
        <v>3</v>
      </c>
      <c r="D8" s="273" t="s">
        <v>42</v>
      </c>
      <c r="E8" s="273" t="s">
        <v>1</v>
      </c>
      <c r="F8" s="273" t="s">
        <v>50</v>
      </c>
      <c r="G8" s="273" t="s">
        <v>134</v>
      </c>
      <c r="H8" s="273" t="s">
        <v>33</v>
      </c>
      <c r="I8" s="273" t="s">
        <v>5</v>
      </c>
      <c r="J8" s="273" t="s">
        <v>87</v>
      </c>
      <c r="K8" s="273" t="s">
        <v>92</v>
      </c>
      <c r="L8" s="273" t="s">
        <v>45</v>
      </c>
      <c r="M8" s="273" t="s">
        <v>5</v>
      </c>
      <c r="N8" s="273" t="s">
        <v>48</v>
      </c>
      <c r="O8" s="274" t="s">
        <v>11</v>
      </c>
      <c r="P8" s="275" t="s">
        <v>162</v>
      </c>
      <c r="Q8" s="275" t="s">
        <v>12</v>
      </c>
      <c r="R8" s="275" t="s">
        <v>8</v>
      </c>
      <c r="S8" s="275"/>
      <c r="T8" s="275"/>
      <c r="U8" s="275"/>
      <c r="V8" s="275"/>
      <c r="W8" s="275"/>
      <c r="X8" s="274" t="s">
        <v>137</v>
      </c>
      <c r="Y8" s="274" t="s">
        <v>46</v>
      </c>
      <c r="Z8" s="274" t="s">
        <v>5</v>
      </c>
      <c r="AA8" s="274" t="s">
        <v>47</v>
      </c>
      <c r="AB8" s="274" t="s">
        <v>5</v>
      </c>
      <c r="AC8" s="274" t="s">
        <v>49</v>
      </c>
      <c r="AD8" s="274" t="s">
        <v>29</v>
      </c>
      <c r="AE8" s="275" t="s">
        <v>34</v>
      </c>
      <c r="AF8" s="275" t="s">
        <v>35</v>
      </c>
      <c r="AG8" s="275" t="s">
        <v>36</v>
      </c>
      <c r="AH8" s="275" t="s">
        <v>38</v>
      </c>
      <c r="AI8" s="275" t="s">
        <v>37</v>
      </c>
      <c r="AJ8" s="275" t="s">
        <v>39</v>
      </c>
    </row>
    <row r="9" spans="1:36" s="120" customFormat="1" ht="94.5" customHeight="1" x14ac:dyDescent="0.25">
      <c r="A9" s="272"/>
      <c r="B9" s="273"/>
      <c r="C9" s="273"/>
      <c r="D9" s="273"/>
      <c r="E9" s="273"/>
      <c r="F9" s="273"/>
      <c r="G9" s="273"/>
      <c r="H9" s="273"/>
      <c r="I9" s="273"/>
      <c r="J9" s="273"/>
      <c r="K9" s="273"/>
      <c r="L9" s="273"/>
      <c r="M9" s="273"/>
      <c r="N9" s="273"/>
      <c r="O9" s="272"/>
      <c r="P9" s="273"/>
      <c r="Q9" s="273"/>
      <c r="R9" s="119" t="s">
        <v>13</v>
      </c>
      <c r="S9" s="119" t="s">
        <v>17</v>
      </c>
      <c r="T9" s="119" t="s">
        <v>28</v>
      </c>
      <c r="U9" s="119" t="s">
        <v>18</v>
      </c>
      <c r="V9" s="119" t="s">
        <v>21</v>
      </c>
      <c r="W9" s="119" t="s">
        <v>24</v>
      </c>
      <c r="X9" s="272"/>
      <c r="Y9" s="272"/>
      <c r="Z9" s="272"/>
      <c r="AA9" s="272"/>
      <c r="AB9" s="272"/>
      <c r="AC9" s="272"/>
      <c r="AD9" s="272"/>
      <c r="AE9" s="273"/>
      <c r="AF9" s="273"/>
      <c r="AG9" s="273"/>
      <c r="AH9" s="273"/>
      <c r="AI9" s="273"/>
      <c r="AJ9" s="273"/>
    </row>
    <row r="10" spans="1:36" s="122" customFormat="1" ht="408.75" customHeight="1" thickBot="1" x14ac:dyDescent="0.3">
      <c r="A10" s="210">
        <v>18</v>
      </c>
      <c r="B10" s="203" t="s">
        <v>132</v>
      </c>
      <c r="C10" s="203" t="s">
        <v>222</v>
      </c>
      <c r="D10" s="125" t="s">
        <v>223</v>
      </c>
      <c r="E10" s="220" t="s">
        <v>224</v>
      </c>
      <c r="F10" s="203" t="s">
        <v>123</v>
      </c>
      <c r="G10" s="203">
        <v>24</v>
      </c>
      <c r="H10" s="212" t="str">
        <f>IF(G10&lt;=0,"",IF(G10&lt;=2,"Muy Baja",IF(G10&lt;=24,"Baja",IF(G10&lt;=500,"Media",IF(G10&lt;=5000,"Alta","Muy Alta")))))</f>
        <v>Baja</v>
      </c>
      <c r="I10" s="214">
        <f>IF(H10="","",IF(H10="Muy Baja",0.2,IF(H10="Baja",0.4,IF(H10="Media",0.6,IF(H10="Alta",0.8,IF(H10="Muy Alta",1,))))))</f>
        <v>0.4</v>
      </c>
      <c r="J10" s="217" t="s">
        <v>149</v>
      </c>
      <c r="K10" s="214" t="str">
        <f>IF(NOT(ISERROR(MATCH(J10,'Tabla Impacto'!$B$221:$B$223,0))),'Tabla Impacto'!$F$223&amp;"Por favor no seleccionar los criterios de impacto(Afectación Económica o presupuestal y Pérdida Reputacional)",J10)</f>
        <v xml:space="preserve">     Entre 10 y 50 SMLMV </v>
      </c>
      <c r="L10" s="212" t="str">
        <f>IF(OR(K10='Tabla Impacto'!$C$11,K10='Tabla Impacto'!$D$11),"Leve",IF(OR(K10='Tabla Impacto'!$C$12,K10='Tabla Impacto'!$D$12),"Menor",IF(OR(K10='Tabla Impacto'!$C$13,K10='Tabla Impacto'!$D$13),"Moderado",IF(OR(K10='Tabla Impacto'!$C$14,K10='Tabla Impacto'!$D$14),"Mayor",IF(OR(K10='Tabla Impacto'!$C$15,K10='Tabla Impacto'!$D$15),"Catastrófico","")))))</f>
        <v>Menor</v>
      </c>
      <c r="M10" s="214">
        <f>IF(L10="","",IF(L10="Leve",0.2,IF(L10="Menor",0.4,IF(L10="Moderado",0.6,IF(L10="Mayor",0.8,IF(L10="Catastrófico",1,))))))</f>
        <v>0.4</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10">
        <v>18</v>
      </c>
      <c r="P10" s="221" t="s">
        <v>225</v>
      </c>
      <c r="Q10" s="218" t="str">
        <f>IF(OR(R10="Preventivo",R10="Detectivo"),"Probabilidad",IF(R10="Correctivo","Impacto",""))</f>
        <v>Probabilidad</v>
      </c>
      <c r="R10" s="213" t="s">
        <v>14</v>
      </c>
      <c r="S10" s="213" t="s">
        <v>9</v>
      </c>
      <c r="T10" s="214" t="str">
        <f>IF(AND(R10="Preventivo",S10="Automático"),"50%",IF(AND(R10="Preventivo",S10="Manual"),"40%",IF(AND(R10="Detectivo",S10="Automático"),"40%",IF(AND(R10="Detectivo",S10="Manual"),"30%",IF(AND(R10="Correctivo",S10="Automático"),"35%",IF(AND(R10="Correctivo",S10="Manual"),"25%",""))))))</f>
        <v>40%</v>
      </c>
      <c r="U10" s="213" t="s">
        <v>19</v>
      </c>
      <c r="V10" s="213" t="s">
        <v>22</v>
      </c>
      <c r="W10" s="213" t="s">
        <v>119</v>
      </c>
      <c r="X10" s="121">
        <f>IFERROR(IF(Q10="Probabilidad",(I10-(+I10*T10)),IF(Q10="Impacto",I10,"")),"")</f>
        <v>0.24</v>
      </c>
      <c r="Y10" s="212" t="str">
        <f>IFERROR(IF(X10="","",IF(X10&lt;=0.2,"Muy Baja",IF(X10&lt;=0.4,"Baja",IF(X10&lt;=0.6,"Media",IF(X10&lt;=0.8,"Alta","Muy Alta"))))),"")</f>
        <v>Baja</v>
      </c>
      <c r="Z10" s="214">
        <f>+X10</f>
        <v>0.24</v>
      </c>
      <c r="AA10" s="212" t="str">
        <f>IFERROR(IF(AB10="","",IF(AB10&lt;=0.2,"Leve",IF(AB10&lt;=0.4,"Menor",IF(AB10&lt;=0.6,"Moderado",IF(AB10&lt;=0.8,"Mayor","Catastrófico"))))),"")</f>
        <v>Menor</v>
      </c>
      <c r="AB10" s="214">
        <f>IFERROR(IF(Q10="Impacto",(M10-(+M10*T10)),IF(Q10="Probabilidad",M10,"")),"")</f>
        <v>0.4</v>
      </c>
      <c r="AC10" s="215"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213" t="s">
        <v>32</v>
      </c>
      <c r="AE10" s="221" t="s">
        <v>226</v>
      </c>
      <c r="AF10" s="222" t="s">
        <v>227</v>
      </c>
      <c r="AG10" s="202" t="s">
        <v>228</v>
      </c>
      <c r="AH10" s="202" t="s">
        <v>229</v>
      </c>
      <c r="AI10" s="276" t="s">
        <v>213</v>
      </c>
      <c r="AJ10" s="203" t="s">
        <v>41</v>
      </c>
    </row>
    <row r="11" spans="1:36" ht="151.5" hidden="1" customHeight="1" outlineLevel="1" x14ac:dyDescent="0.35">
      <c r="A11" s="123"/>
      <c r="B11" s="124"/>
      <c r="C11" s="203"/>
      <c r="D11" s="125"/>
      <c r="E11" s="203"/>
      <c r="F11" s="126"/>
      <c r="G11" s="126"/>
      <c r="H11" s="127"/>
      <c r="I11" s="128"/>
      <c r="J11" s="129"/>
      <c r="K11" s="128">
        <f>IF(NOT(ISERROR(MATCH(J11,_xlfn.ANCHORARRAY(E22),0))),I24&amp;"Por favor no seleccionar los criterios de impacto",J11)</f>
        <v>0</v>
      </c>
      <c r="L11" s="127"/>
      <c r="M11" s="128"/>
      <c r="N11" s="130"/>
      <c r="O11" s="131"/>
      <c r="P11" s="132"/>
      <c r="Q11" s="133" t="str">
        <f>IF(OR(R11="Preventivo",R11="Detectivo"),"Probabilidad",IF(R11="Correctivo","Impacto",""))</f>
        <v/>
      </c>
      <c r="R11" s="134"/>
      <c r="S11" s="134"/>
      <c r="T11" s="204" t="str">
        <f t="shared" ref="T11:T15" si="0">IF(AND(R11="Preventivo",S11="Automático"),"50%",IF(AND(R11="Preventivo",S11="Manual"),"40%",IF(AND(R11="Detectivo",S11="Automático"),"40%",IF(AND(R11="Detectivo",S11="Manual"),"30%",IF(AND(R11="Correctivo",S11="Automático"),"35%",IF(AND(R11="Correctivo",S11="Manual"),"25%",""))))))</f>
        <v/>
      </c>
      <c r="U11" s="134"/>
      <c r="V11" s="134"/>
      <c r="W11" s="134"/>
      <c r="X11" s="135" t="str">
        <f>IFERROR(IF(AND(Q10="Probabilidad",Q11="Probabilidad"),(Z10-(+Z10*T11)),IF(Q11="Probabilidad",(I10-(+I10*T11)),IF(Q11="Impacto",Z10,""))),"")</f>
        <v/>
      </c>
      <c r="Y11" s="136" t="str">
        <f t="shared" ref="Y11:Y69" si="1">IFERROR(IF(X11="","",IF(X11&lt;=0.2,"Muy Baja",IF(X11&lt;=0.4,"Baja",IF(X11&lt;=0.6,"Media",IF(X11&lt;=0.8,"Alta","Muy Alta"))))),"")</f>
        <v/>
      </c>
      <c r="Z11" s="204" t="str">
        <f t="shared" ref="Z11:Z15" si="2">+X11</f>
        <v/>
      </c>
      <c r="AA11" s="136" t="str">
        <f t="shared" ref="AA11:AA69" si="3">IFERROR(IF(AB11="","",IF(AB11&lt;=0.2,"Leve",IF(AB11&lt;=0.4,"Menor",IF(AB11&lt;=0.6,"Moderado",IF(AB11&lt;=0.8,"Mayor","Catastrófico"))))),"")</f>
        <v/>
      </c>
      <c r="AB11" s="204" t="str">
        <f>IFERROR(IF(AND(Q10="Impacto",Q11="Impacto"),(AB10-(+AB10*T11)),IF(Q11="Impacto",($M$10-(+$M$10*T11)),IF(Q11="Probabilidad",AB10,""))),"")</f>
        <v/>
      </c>
      <c r="AC11" s="13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4"/>
      <c r="AE11" s="138"/>
      <c r="AF11" s="138"/>
      <c r="AG11" s="139"/>
      <c r="AH11" s="139"/>
      <c r="AI11" s="276"/>
      <c r="AJ11" s="138"/>
    </row>
    <row r="12" spans="1:36" ht="151.5" hidden="1" customHeight="1" outlineLevel="1" x14ac:dyDescent="0.35">
      <c r="A12" s="123"/>
      <c r="B12" s="124"/>
      <c r="C12" s="203"/>
      <c r="D12" s="125"/>
      <c r="E12" s="203"/>
      <c r="F12" s="126"/>
      <c r="G12" s="126"/>
      <c r="H12" s="127"/>
      <c r="I12" s="128"/>
      <c r="J12" s="129"/>
      <c r="K12" s="128">
        <f>IF(NOT(ISERROR(MATCH(J12,_xlfn.ANCHORARRAY(E23),0))),I25&amp;"Por favor no seleccionar los criterios de impacto",J12)</f>
        <v>0</v>
      </c>
      <c r="L12" s="127"/>
      <c r="M12" s="128"/>
      <c r="N12" s="130"/>
      <c r="O12" s="131"/>
      <c r="P12" s="132"/>
      <c r="Q12" s="133" t="str">
        <f>IF(OR(R12="Preventivo",R12="Detectivo"),"Probabilidad",IF(R12="Correctivo","Impacto",""))</f>
        <v/>
      </c>
      <c r="R12" s="134"/>
      <c r="S12" s="134"/>
      <c r="T12" s="204" t="str">
        <f t="shared" si="0"/>
        <v/>
      </c>
      <c r="U12" s="134"/>
      <c r="V12" s="134"/>
      <c r="W12" s="134"/>
      <c r="X12" s="135" t="str">
        <f>IFERROR(IF(AND(Q11="Probabilidad",Q12="Probabilidad"),(Z11-(+Z11*T12)),IF(AND(Q11="Impacto",Q12="Probabilidad"),(Z10-(+Z10*T12)),IF(Q12="Impacto",Z11,""))),"")</f>
        <v/>
      </c>
      <c r="Y12" s="136" t="str">
        <f t="shared" si="1"/>
        <v/>
      </c>
      <c r="Z12" s="204" t="str">
        <f t="shared" si="2"/>
        <v/>
      </c>
      <c r="AA12" s="136" t="str">
        <f t="shared" si="3"/>
        <v/>
      </c>
      <c r="AB12" s="204" t="str">
        <f>IFERROR(IF(AND(Q11="Impacto",Q12="Impacto"),(AB11-(+AB11*T12)),IF(AND(Q11="Probabilidad",Q12="Impacto"),(AB10-(+AB10*T12)),IF(Q12="Probabilidad",AB11,""))),"")</f>
        <v/>
      </c>
      <c r="AC12" s="137" t="str">
        <f t="shared" si="4"/>
        <v/>
      </c>
      <c r="AD12" s="134"/>
      <c r="AE12" s="138"/>
      <c r="AF12" s="138"/>
      <c r="AG12" s="139"/>
      <c r="AH12" s="139"/>
      <c r="AI12" s="138"/>
      <c r="AJ12" s="138"/>
    </row>
    <row r="13" spans="1:36" ht="151.5" hidden="1" customHeight="1" outlineLevel="1" x14ac:dyDescent="0.35">
      <c r="A13" s="123"/>
      <c r="B13" s="124"/>
      <c r="C13" s="203"/>
      <c r="D13" s="125"/>
      <c r="E13" s="203"/>
      <c r="F13" s="126"/>
      <c r="G13" s="126"/>
      <c r="H13" s="127"/>
      <c r="I13" s="128"/>
      <c r="J13" s="129"/>
      <c r="K13" s="128">
        <f>IF(NOT(ISERROR(MATCH(J13,_xlfn.ANCHORARRAY(E24),0))),I26&amp;"Por favor no seleccionar los criterios de impacto",J13)</f>
        <v>0</v>
      </c>
      <c r="L13" s="127"/>
      <c r="M13" s="128"/>
      <c r="N13" s="130"/>
      <c r="O13" s="131"/>
      <c r="P13" s="132"/>
      <c r="Q13" s="133" t="str">
        <f t="shared" ref="Q13:Q15" si="5">IF(OR(R13="Preventivo",R13="Detectivo"),"Probabilidad",IF(R13="Correctivo","Impacto",""))</f>
        <v/>
      </c>
      <c r="R13" s="134"/>
      <c r="S13" s="134"/>
      <c r="T13" s="204" t="str">
        <f t="shared" si="0"/>
        <v/>
      </c>
      <c r="U13" s="134"/>
      <c r="V13" s="134"/>
      <c r="W13" s="134"/>
      <c r="X13" s="135" t="str">
        <f t="shared" ref="X13:X15" si="6">IFERROR(IF(AND(Q12="Probabilidad",Q13="Probabilidad"),(Z12-(+Z12*T13)),IF(AND(Q12="Impacto",Q13="Probabilidad"),(Z11-(+Z11*T13)),IF(Q13="Impacto",Z12,""))),"")</f>
        <v/>
      </c>
      <c r="Y13" s="136" t="str">
        <f t="shared" si="1"/>
        <v/>
      </c>
      <c r="Z13" s="204" t="str">
        <f t="shared" si="2"/>
        <v/>
      </c>
      <c r="AA13" s="136" t="str">
        <f t="shared" si="3"/>
        <v/>
      </c>
      <c r="AB13" s="204" t="str">
        <f t="shared" ref="AB13:AB15" si="7">IFERROR(IF(AND(Q12="Impacto",Q13="Impacto"),(AB12-(+AB12*T13)),IF(AND(Q12="Probabilidad",Q13="Impacto"),(AB11-(+AB11*T13)),IF(Q13="Probabilidad",AB12,""))),"")</f>
        <v/>
      </c>
      <c r="AC13" s="13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8"/>
      <c r="AF13" s="138"/>
      <c r="AG13" s="139"/>
      <c r="AH13" s="139"/>
      <c r="AI13" s="138"/>
      <c r="AJ13" s="138"/>
    </row>
    <row r="14" spans="1:36" ht="151.5" hidden="1" customHeight="1" outlineLevel="1" x14ac:dyDescent="0.35">
      <c r="A14" s="123"/>
      <c r="B14" s="124"/>
      <c r="C14" s="203"/>
      <c r="D14" s="125"/>
      <c r="E14" s="203"/>
      <c r="F14" s="126"/>
      <c r="G14" s="126"/>
      <c r="H14" s="127"/>
      <c r="I14" s="128"/>
      <c r="J14" s="129"/>
      <c r="K14" s="128">
        <f>IF(NOT(ISERROR(MATCH(J14,_xlfn.ANCHORARRAY(E25),0))),I27&amp;"Por favor no seleccionar los criterios de impacto",J14)</f>
        <v>0</v>
      </c>
      <c r="L14" s="127"/>
      <c r="M14" s="128"/>
      <c r="N14" s="130"/>
      <c r="O14" s="131"/>
      <c r="P14" s="132"/>
      <c r="Q14" s="133" t="str">
        <f t="shared" si="5"/>
        <v/>
      </c>
      <c r="R14" s="134"/>
      <c r="S14" s="134"/>
      <c r="T14" s="204" t="str">
        <f t="shared" si="0"/>
        <v/>
      </c>
      <c r="U14" s="134"/>
      <c r="V14" s="134"/>
      <c r="W14" s="134"/>
      <c r="X14" s="135" t="str">
        <f t="shared" si="6"/>
        <v/>
      </c>
      <c r="Y14" s="136" t="str">
        <f t="shared" si="1"/>
        <v/>
      </c>
      <c r="Z14" s="204" t="str">
        <f t="shared" si="2"/>
        <v/>
      </c>
      <c r="AA14" s="136" t="str">
        <f t="shared" si="3"/>
        <v/>
      </c>
      <c r="AB14" s="204" t="str">
        <f t="shared" si="7"/>
        <v/>
      </c>
      <c r="AC14" s="137" t="str">
        <f t="shared" si="4"/>
        <v/>
      </c>
      <c r="AD14" s="134"/>
      <c r="AE14" s="138"/>
      <c r="AF14" s="138"/>
      <c r="AG14" s="139"/>
      <c r="AH14" s="139"/>
      <c r="AI14" s="138"/>
      <c r="AJ14" s="138"/>
    </row>
    <row r="15" spans="1:36" ht="151.5" hidden="1" customHeight="1" outlineLevel="1" x14ac:dyDescent="0.35">
      <c r="A15" s="123"/>
      <c r="B15" s="124"/>
      <c r="C15" s="203"/>
      <c r="D15" s="125"/>
      <c r="E15" s="203"/>
      <c r="F15" s="126"/>
      <c r="G15" s="126"/>
      <c r="H15" s="127"/>
      <c r="I15" s="128"/>
      <c r="J15" s="129"/>
      <c r="K15" s="128">
        <f>IF(NOT(ISERROR(MATCH(J15,_xlfn.ANCHORARRAY(E26),0))),I28&amp;"Por favor no seleccionar los criterios de impacto",J15)</f>
        <v>0</v>
      </c>
      <c r="L15" s="127"/>
      <c r="M15" s="128"/>
      <c r="N15" s="130"/>
      <c r="O15" s="131"/>
      <c r="P15" s="132"/>
      <c r="Q15" s="133" t="str">
        <f t="shared" si="5"/>
        <v/>
      </c>
      <c r="R15" s="134"/>
      <c r="S15" s="134"/>
      <c r="T15" s="204" t="str">
        <f t="shared" si="0"/>
        <v/>
      </c>
      <c r="U15" s="134"/>
      <c r="V15" s="134"/>
      <c r="W15" s="134"/>
      <c r="X15" s="135" t="str">
        <f t="shared" si="6"/>
        <v/>
      </c>
      <c r="Y15" s="136" t="str">
        <f t="shared" si="1"/>
        <v/>
      </c>
      <c r="Z15" s="204" t="str">
        <f t="shared" si="2"/>
        <v/>
      </c>
      <c r="AA15" s="136" t="str">
        <f t="shared" si="3"/>
        <v/>
      </c>
      <c r="AB15" s="204" t="str">
        <f t="shared" si="7"/>
        <v/>
      </c>
      <c r="AC15" s="137" t="str">
        <f t="shared" si="4"/>
        <v/>
      </c>
      <c r="AD15" s="134"/>
      <c r="AE15" s="138"/>
      <c r="AF15" s="138"/>
      <c r="AG15" s="139"/>
      <c r="AH15" s="139"/>
      <c r="AI15" s="138"/>
      <c r="AJ15" s="138"/>
    </row>
    <row r="16" spans="1:36" ht="151.5" customHeight="1" collapsed="1" x14ac:dyDescent="0.35">
      <c r="A16" s="288">
        <v>19</v>
      </c>
      <c r="B16" s="276" t="s">
        <v>132</v>
      </c>
      <c r="C16" s="293" t="s">
        <v>232</v>
      </c>
      <c r="D16" s="293" t="s">
        <v>233</v>
      </c>
      <c r="E16" s="296" t="s">
        <v>234</v>
      </c>
      <c r="F16" s="276" t="s">
        <v>125</v>
      </c>
      <c r="G16" s="276">
        <v>24</v>
      </c>
      <c r="H16" s="290" t="str">
        <f>IF(G16&lt;=0,"",IF(G16&lt;=2,"Muy Baja",IF(G16&lt;=24,"Baja",IF(G16&lt;=500,"Media",IF(G16&lt;=5000,"Alta","Muy Alta")))))</f>
        <v>Baja</v>
      </c>
      <c r="I16" s="292">
        <f>IF(H16="","",IF(H16="Muy Baja",0.2,IF(H16="Baja",0.4,IF(H16="Media",0.6,IF(H16="Alta",0.8,IF(H16="Muy Alta",1,))))))</f>
        <v>0.4</v>
      </c>
      <c r="J16" s="306" t="s">
        <v>149</v>
      </c>
      <c r="K16" s="214" t="str">
        <f>IF(NOT(ISERROR(MATCH(J16,'Tabla Impacto'!$B$221:$B$223,0))),'Tabla Impacto'!$F$223&amp;"Por favor no seleccionar los criterios de impacto(Afectación Económica o presupuestal y Pérdida Reputacional)",J16)</f>
        <v xml:space="preserve">     Entre 10 y 50 SMLMV </v>
      </c>
      <c r="L16" s="290" t="str">
        <f>IF(OR(K16='Tabla Impacto'!$C$11,K16='Tabla Impacto'!$D$11),"Leve",IF(OR(K16='Tabla Impacto'!$C$12,K16='Tabla Impacto'!$D$12),"Menor",IF(OR(K16='Tabla Impacto'!$C$13,K16='Tabla Impacto'!$D$13),"Moderado",IF(OR(K16='Tabla Impacto'!$C$14,K16='Tabla Impacto'!$D$14),"Mayor",IF(OR(K16='Tabla Impacto'!$C$15,K16='Tabla Impacto'!$D$15),"Catastrófico","")))))</f>
        <v>Menor</v>
      </c>
      <c r="M16" s="292">
        <f>IF(L16="","",IF(L16="Leve",0.2,IF(L16="Menor",0.4,IF(L16="Moderado",0.6,IF(L16="Mayor",0.8,IF(L16="Catastrófico",1,))))))</f>
        <v>0.4</v>
      </c>
      <c r="N16" s="30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88">
        <v>19</v>
      </c>
      <c r="P16" s="280" t="s">
        <v>235</v>
      </c>
      <c r="Q16" s="307" t="str">
        <f>IF(OR(R16="Preventivo",R16="Detectivo"),"Probabilidad",IF(R16="Correctivo","Impacto",""))</f>
        <v>Probabilidad</v>
      </c>
      <c r="R16" s="291" t="s">
        <v>14</v>
      </c>
      <c r="S16" s="291" t="s">
        <v>9</v>
      </c>
      <c r="T16" s="292" t="str">
        <f>IF(AND(R16="Preventivo",S16="Automático"),"50%",IF(AND(R16="Preventivo",S16="Manual"),"40%",IF(AND(R16="Detectivo",S16="Automático"),"40%",IF(AND(R16="Detectivo",S16="Manual"),"30%",IF(AND(R16="Correctivo",S16="Automático"),"35%",IF(AND(R16="Correctivo",S16="Manual"),"25%",""))))))</f>
        <v>40%</v>
      </c>
      <c r="U16" s="291" t="s">
        <v>19</v>
      </c>
      <c r="V16" s="291" t="s">
        <v>22</v>
      </c>
      <c r="W16" s="291" t="s">
        <v>119</v>
      </c>
      <c r="X16" s="121">
        <f>IFERROR(IF(Q16="Probabilidad",(I16-(+I16*T16)),IF(Q16="Impacto",I16,"")),"")</f>
        <v>0.24</v>
      </c>
      <c r="Y16" s="290" t="str">
        <f>IFERROR(IF(X16="","",IF(X16&lt;=0.2,"Muy Baja",IF(X16&lt;=0.4,"Baja",IF(X16&lt;=0.6,"Media",IF(X16&lt;=0.8,"Alta","Muy Alta"))))),"")</f>
        <v>Baja</v>
      </c>
      <c r="Z16" s="292">
        <f>+X16</f>
        <v>0.24</v>
      </c>
      <c r="AA16" s="290" t="str">
        <f>IFERROR(IF(AB16="","",IF(AB16&lt;=0.2,"Leve",IF(AB16&lt;=0.4,"Menor",IF(AB16&lt;=0.6,"Moderado",IF(AB16&lt;=0.8,"Mayor","Catastrófico"))))),"")</f>
        <v>Menor</v>
      </c>
      <c r="AB16" s="292">
        <f>IFERROR(IF(Q16="Impacto",(M16-(+M16*T16)),IF(Q16="Probabilidad",M16,"")),"")</f>
        <v>0.4</v>
      </c>
      <c r="AC16" s="304"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291" t="s">
        <v>32</v>
      </c>
      <c r="AE16" s="289" t="s">
        <v>219</v>
      </c>
      <c r="AF16" s="280" t="s">
        <v>227</v>
      </c>
      <c r="AG16" s="277" t="s">
        <v>231</v>
      </c>
      <c r="AH16" s="308" t="s">
        <v>230</v>
      </c>
      <c r="AI16" s="276" t="s">
        <v>213</v>
      </c>
      <c r="AJ16" s="276" t="s">
        <v>41</v>
      </c>
    </row>
    <row r="17" spans="1:36" ht="183" customHeight="1" x14ac:dyDescent="0.35">
      <c r="A17" s="288"/>
      <c r="B17" s="276"/>
      <c r="C17" s="294"/>
      <c r="D17" s="294"/>
      <c r="E17" s="297"/>
      <c r="F17" s="276"/>
      <c r="G17" s="276"/>
      <c r="H17" s="290"/>
      <c r="I17" s="292"/>
      <c r="J17" s="306"/>
      <c r="K17" s="214">
        <f>IF(NOT(ISERROR(MATCH(J17,_xlfn.ANCHORARRAY(E28),0))),I30&amp;"Por favor no seleccionar los criterios de impacto",J17)</f>
        <v>0</v>
      </c>
      <c r="L17" s="290"/>
      <c r="M17" s="292"/>
      <c r="N17" s="304"/>
      <c r="O17" s="288"/>
      <c r="P17" s="280"/>
      <c r="Q17" s="307"/>
      <c r="R17" s="291"/>
      <c r="S17" s="291"/>
      <c r="T17" s="292"/>
      <c r="U17" s="291"/>
      <c r="V17" s="291"/>
      <c r="W17" s="291"/>
      <c r="X17" s="121" t="str">
        <f>IFERROR(IF(AND(Q16="Probabilidad",Q17="Probabilidad"),(Z16-(+Z16*T17)),IF(Q17="Probabilidad",(I16-(+I16*T17)),IF(Q17="Impacto",Z16,""))),"")</f>
        <v/>
      </c>
      <c r="Y17" s="290"/>
      <c r="Z17" s="292"/>
      <c r="AA17" s="290"/>
      <c r="AB17" s="292"/>
      <c r="AC17" s="304"/>
      <c r="AD17" s="291"/>
      <c r="AE17" s="289"/>
      <c r="AF17" s="280"/>
      <c r="AG17" s="278"/>
      <c r="AH17" s="309"/>
      <c r="AI17" s="276"/>
      <c r="AJ17" s="276"/>
    </row>
    <row r="18" spans="1:36" ht="151.5" hidden="1" customHeight="1" outlineLevel="1" x14ac:dyDescent="0.35">
      <c r="A18" s="140"/>
      <c r="B18" s="124"/>
      <c r="C18" s="294"/>
      <c r="D18" s="294"/>
      <c r="E18" s="297"/>
      <c r="F18" s="124"/>
      <c r="G18" s="124"/>
      <c r="H18" s="141"/>
      <c r="I18" s="142"/>
      <c r="J18" s="143"/>
      <c r="K18" s="142">
        <f>IF(NOT(ISERROR(MATCH(J18,_xlfn.ANCHORARRAY(E29),0))),I31&amp;"Por favor no seleccionar los criterios de impacto",J18)</f>
        <v>0</v>
      </c>
      <c r="L18" s="141"/>
      <c r="M18" s="142"/>
      <c r="N18" s="144"/>
      <c r="O18" s="210">
        <v>3</v>
      </c>
      <c r="P18" s="276"/>
      <c r="Q18" s="133" t="str">
        <f>IF(OR(R18="Preventivo",R18="Detectivo"),"Probabilidad",IF(R18="Correctivo","Impacto",""))</f>
        <v/>
      </c>
      <c r="R18" s="134"/>
      <c r="S18" s="134"/>
      <c r="T18" s="204" t="str">
        <f t="shared" ref="T18:T21" si="8">IF(AND(R18="Preventivo",S18="Automático"),"50%",IF(AND(R18="Preventivo",S18="Manual"),"40%",IF(AND(R18="Detectivo",S18="Automático"),"40%",IF(AND(R18="Detectivo",S18="Manual"),"30%",IF(AND(R18="Correctivo",S18="Automático"),"35%",IF(AND(R18="Correctivo",S18="Manual"),"25%",""))))))</f>
        <v/>
      </c>
      <c r="U18" s="134"/>
      <c r="V18" s="134"/>
      <c r="W18" s="134"/>
      <c r="X18" s="135" t="str">
        <f>IFERROR(IF(AND(Q17="Probabilidad",Q18="Probabilidad"),(Z17-(+Z17*T18)),IF(AND(Q17="Impacto",Q18="Probabilidad"),(Z16-(+Z16*T18)),IF(Q18="Impacto",Z17,""))),"")</f>
        <v/>
      </c>
      <c r="Y18" s="136" t="str">
        <f t="shared" si="1"/>
        <v/>
      </c>
      <c r="Z18" s="204" t="str">
        <f t="shared" ref="Z18:Z21" si="9">+X18</f>
        <v/>
      </c>
      <c r="AA18" s="136" t="str">
        <f t="shared" si="3"/>
        <v/>
      </c>
      <c r="AB18" s="204" t="str">
        <f>IFERROR(IF(AND(Q17="Impacto",Q18="Impacto"),(AB17-(+AB17*T18)),IF(AND(Q17="Probabilidad",Q18="Impacto"),(AB16-(+AB16*T18)),IF(Q18="Probabilidad",AB17,""))),"")</f>
        <v/>
      </c>
      <c r="AC18" s="137"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4"/>
      <c r="AE18" s="138"/>
      <c r="AF18" s="138"/>
      <c r="AG18" s="139"/>
      <c r="AH18" s="139"/>
      <c r="AI18" s="138"/>
      <c r="AJ18" s="138"/>
    </row>
    <row r="19" spans="1:36" ht="151.5" hidden="1" customHeight="1" outlineLevel="1" x14ac:dyDescent="0.35">
      <c r="A19" s="140"/>
      <c r="B19" s="124"/>
      <c r="C19" s="294"/>
      <c r="D19" s="294"/>
      <c r="E19" s="297"/>
      <c r="F19" s="145"/>
      <c r="G19" s="124"/>
      <c r="H19" s="141"/>
      <c r="I19" s="142"/>
      <c r="J19" s="143"/>
      <c r="K19" s="142">
        <f>IF(NOT(ISERROR(MATCH(J19,_xlfn.ANCHORARRAY(E30),0))),I32&amp;"Por favor no seleccionar los criterios de impacto",J19)</f>
        <v>0</v>
      </c>
      <c r="L19" s="141"/>
      <c r="M19" s="142"/>
      <c r="N19" s="144"/>
      <c r="O19" s="210">
        <v>4</v>
      </c>
      <c r="P19" s="276"/>
      <c r="Q19" s="133" t="str">
        <f t="shared" ref="Q19:Q21" si="11">IF(OR(R19="Preventivo",R19="Detectivo"),"Probabilidad",IF(R19="Correctivo","Impacto",""))</f>
        <v/>
      </c>
      <c r="R19" s="134"/>
      <c r="S19" s="134"/>
      <c r="T19" s="204" t="str">
        <f t="shared" si="8"/>
        <v/>
      </c>
      <c r="U19" s="134"/>
      <c r="V19" s="134"/>
      <c r="W19" s="134"/>
      <c r="X19" s="135" t="str">
        <f t="shared" ref="X19:X21" si="12">IFERROR(IF(AND(Q18="Probabilidad",Q19="Probabilidad"),(Z18-(+Z18*T19)),IF(AND(Q18="Impacto",Q19="Probabilidad"),(Z17-(+Z17*T19)),IF(Q19="Impacto",Z18,""))),"")</f>
        <v/>
      </c>
      <c r="Y19" s="136" t="str">
        <f t="shared" si="1"/>
        <v/>
      </c>
      <c r="Z19" s="204" t="str">
        <f t="shared" si="9"/>
        <v/>
      </c>
      <c r="AA19" s="136" t="str">
        <f t="shared" si="3"/>
        <v/>
      </c>
      <c r="AB19" s="204" t="str">
        <f t="shared" ref="AB19:AB21" si="13">IFERROR(IF(AND(Q18="Impacto",Q19="Impacto"),(AB18-(+AB18*T19)),IF(AND(Q18="Probabilidad",Q19="Impacto"),(AB17-(+AB17*T19)),IF(Q19="Probabilidad",AB18,""))),"")</f>
        <v/>
      </c>
      <c r="AC19" s="13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8"/>
      <c r="AF19" s="138"/>
      <c r="AG19" s="139"/>
      <c r="AH19" s="139"/>
      <c r="AI19" s="138"/>
      <c r="AJ19" s="138"/>
    </row>
    <row r="20" spans="1:36" ht="151.5" hidden="1" customHeight="1" outlineLevel="1" x14ac:dyDescent="0.35">
      <c r="A20" s="140"/>
      <c r="B20" s="124"/>
      <c r="C20" s="294"/>
      <c r="D20" s="294"/>
      <c r="E20" s="297"/>
      <c r="F20" s="124"/>
      <c r="G20" s="124"/>
      <c r="H20" s="141"/>
      <c r="I20" s="142"/>
      <c r="J20" s="143"/>
      <c r="K20" s="142">
        <f>IF(NOT(ISERROR(MATCH(J20,_xlfn.ANCHORARRAY(E31),0))),I33&amp;"Por favor no seleccionar los criterios de impacto",J20)</f>
        <v>0</v>
      </c>
      <c r="L20" s="141"/>
      <c r="M20" s="142"/>
      <c r="N20" s="144"/>
      <c r="O20" s="210">
        <v>5</v>
      </c>
      <c r="P20" s="146"/>
      <c r="Q20" s="133" t="str">
        <f t="shared" si="11"/>
        <v/>
      </c>
      <c r="R20" s="134"/>
      <c r="S20" s="134"/>
      <c r="T20" s="204" t="str">
        <f t="shared" si="8"/>
        <v/>
      </c>
      <c r="U20" s="134"/>
      <c r="V20" s="134"/>
      <c r="W20" s="134"/>
      <c r="X20" s="135" t="str">
        <f t="shared" si="12"/>
        <v/>
      </c>
      <c r="Y20" s="136" t="str">
        <f t="shared" si="1"/>
        <v/>
      </c>
      <c r="Z20" s="204" t="str">
        <f t="shared" si="9"/>
        <v/>
      </c>
      <c r="AA20" s="136" t="str">
        <f t="shared" si="3"/>
        <v/>
      </c>
      <c r="AB20" s="204" t="str">
        <f t="shared" si="13"/>
        <v/>
      </c>
      <c r="AC20" s="13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8"/>
      <c r="AF20" s="138"/>
      <c r="AG20" s="139"/>
      <c r="AH20" s="139"/>
      <c r="AI20" s="138"/>
      <c r="AJ20" s="138"/>
    </row>
    <row r="21" spans="1:36" ht="36" hidden="1" customHeight="1" outlineLevel="1" x14ac:dyDescent="0.35">
      <c r="A21" s="140"/>
      <c r="B21" s="124"/>
      <c r="C21" s="295"/>
      <c r="D21" s="295"/>
      <c r="E21" s="298"/>
      <c r="F21" s="145"/>
      <c r="G21" s="124"/>
      <c r="H21" s="141"/>
      <c r="I21" s="142"/>
      <c r="J21" s="143"/>
      <c r="K21" s="142">
        <f>IF(NOT(ISERROR(MATCH(J21,_xlfn.ANCHORARRAY(E32),0))),I34&amp;"Por favor no seleccionar los criterios de impacto",J21)</f>
        <v>0</v>
      </c>
      <c r="L21" s="141"/>
      <c r="M21" s="142"/>
      <c r="N21" s="144"/>
      <c r="O21" s="210">
        <v>6</v>
      </c>
      <c r="P21" s="146"/>
      <c r="Q21" s="133" t="str">
        <f t="shared" si="11"/>
        <v/>
      </c>
      <c r="R21" s="134"/>
      <c r="S21" s="134"/>
      <c r="T21" s="204" t="str">
        <f t="shared" si="8"/>
        <v/>
      </c>
      <c r="U21" s="134"/>
      <c r="V21" s="134"/>
      <c r="W21" s="134"/>
      <c r="X21" s="135" t="str">
        <f t="shared" si="12"/>
        <v/>
      </c>
      <c r="Y21" s="136" t="str">
        <f t="shared" si="1"/>
        <v/>
      </c>
      <c r="Z21" s="204" t="str">
        <f t="shared" si="9"/>
        <v/>
      </c>
      <c r="AA21" s="136" t="str">
        <f t="shared" si="3"/>
        <v/>
      </c>
      <c r="AB21" s="204" t="str">
        <f t="shared" si="13"/>
        <v/>
      </c>
      <c r="AC21" s="137" t="str">
        <f t="shared" si="14"/>
        <v/>
      </c>
      <c r="AD21" s="134"/>
      <c r="AE21" s="138"/>
      <c r="AF21" s="138"/>
      <c r="AG21" s="139"/>
      <c r="AH21" s="139"/>
      <c r="AI21" s="138"/>
      <c r="AJ21" s="138"/>
    </row>
    <row r="22" spans="1:36" ht="309.75" hidden="1" customHeight="1" collapsed="1" x14ac:dyDescent="0.35">
      <c r="A22" s="210"/>
      <c r="B22" s="203"/>
      <c r="C22" s="205"/>
      <c r="D22" s="205"/>
      <c r="E22" s="219"/>
      <c r="F22" s="203"/>
      <c r="G22" s="203"/>
      <c r="H22" s="212"/>
      <c r="I22" s="214"/>
      <c r="J22" s="217"/>
      <c r="K22" s="279"/>
      <c r="L22" s="212"/>
      <c r="M22" s="214"/>
      <c r="N22" s="215"/>
      <c r="O22" s="210"/>
      <c r="P22" s="205"/>
      <c r="Q22" s="218"/>
      <c r="R22" s="213"/>
      <c r="S22" s="213"/>
      <c r="T22" s="214"/>
      <c r="U22" s="213"/>
      <c r="V22" s="213"/>
      <c r="W22" s="213"/>
      <c r="X22" s="121"/>
      <c r="Y22" s="212"/>
      <c r="Z22" s="214"/>
      <c r="AA22" s="212"/>
      <c r="AB22" s="214"/>
      <c r="AC22" s="215"/>
      <c r="AD22" s="213"/>
      <c r="AE22" s="211"/>
      <c r="AF22" s="280"/>
      <c r="AG22" s="281"/>
      <c r="AH22" s="281"/>
      <c r="AI22" s="276"/>
      <c r="AJ22" s="203"/>
    </row>
    <row r="23" spans="1:36" ht="151.5" hidden="1" customHeight="1" outlineLevel="1" x14ac:dyDescent="0.35">
      <c r="A23" s="210"/>
      <c r="B23" s="138"/>
      <c r="C23" s="147"/>
      <c r="D23" s="207"/>
      <c r="E23" s="207"/>
      <c r="F23" s="138"/>
      <c r="G23" s="138"/>
      <c r="H23" s="136"/>
      <c r="I23" s="204"/>
      <c r="J23" s="148"/>
      <c r="K23" s="279"/>
      <c r="L23" s="136"/>
      <c r="M23" s="204"/>
      <c r="N23" s="137"/>
      <c r="O23" s="131"/>
      <c r="P23" s="207"/>
      <c r="Q23" s="133"/>
      <c r="R23" s="134"/>
      <c r="S23" s="134"/>
      <c r="T23" s="204"/>
      <c r="U23" s="134"/>
      <c r="V23" s="134"/>
      <c r="W23" s="134"/>
      <c r="X23" s="149"/>
      <c r="Y23" s="136"/>
      <c r="Z23" s="204"/>
      <c r="AA23" s="136"/>
      <c r="AB23" s="204"/>
      <c r="AC23" s="137"/>
      <c r="AD23" s="134"/>
      <c r="AE23" s="207"/>
      <c r="AF23" s="280"/>
      <c r="AG23" s="281"/>
      <c r="AH23" s="283"/>
      <c r="AI23" s="276"/>
      <c r="AJ23" s="138"/>
    </row>
    <row r="24" spans="1:36" ht="151.5" hidden="1" customHeight="1" outlineLevel="1" x14ac:dyDescent="0.35">
      <c r="A24" s="210"/>
      <c r="B24" s="138"/>
      <c r="C24" s="138"/>
      <c r="D24" s="138"/>
      <c r="E24" s="150"/>
      <c r="F24" s="138"/>
      <c r="G24" s="138"/>
      <c r="H24" s="136"/>
      <c r="I24" s="204"/>
      <c r="J24" s="148"/>
      <c r="K24" s="279"/>
      <c r="L24" s="136"/>
      <c r="M24" s="204"/>
      <c r="N24" s="137"/>
      <c r="O24" s="131"/>
      <c r="P24" s="138"/>
      <c r="Q24" s="133"/>
      <c r="R24" s="134"/>
      <c r="S24" s="134"/>
      <c r="T24" s="204"/>
      <c r="U24" s="134"/>
      <c r="V24" s="134"/>
      <c r="W24" s="134"/>
      <c r="X24" s="135"/>
      <c r="Y24" s="136"/>
      <c r="Z24" s="204"/>
      <c r="AA24" s="136"/>
      <c r="AB24" s="204"/>
      <c r="AC24" s="137"/>
      <c r="AD24" s="134"/>
      <c r="AE24" s="138"/>
      <c r="AF24" s="138"/>
      <c r="AG24" s="139"/>
      <c r="AH24" s="139"/>
      <c r="AI24" s="138"/>
      <c r="AJ24" s="138"/>
    </row>
    <row r="25" spans="1:36" ht="151.5" hidden="1" customHeight="1" outlineLevel="1" x14ac:dyDescent="0.35">
      <c r="A25" s="210"/>
      <c r="B25" s="138"/>
      <c r="C25" s="138"/>
      <c r="D25" s="138"/>
      <c r="E25" s="150"/>
      <c r="F25" s="138"/>
      <c r="G25" s="138"/>
      <c r="H25" s="136"/>
      <c r="I25" s="204"/>
      <c r="J25" s="148"/>
      <c r="K25" s="279"/>
      <c r="L25" s="136"/>
      <c r="M25" s="204"/>
      <c r="N25" s="137"/>
      <c r="O25" s="131"/>
      <c r="P25" s="138"/>
      <c r="Q25" s="133"/>
      <c r="R25" s="134"/>
      <c r="S25" s="134"/>
      <c r="T25" s="204"/>
      <c r="U25" s="134"/>
      <c r="V25" s="134"/>
      <c r="W25" s="134"/>
      <c r="X25" s="135"/>
      <c r="Y25" s="136"/>
      <c r="Z25" s="204"/>
      <c r="AA25" s="136"/>
      <c r="AB25" s="204"/>
      <c r="AC25" s="137"/>
      <c r="AD25" s="134"/>
      <c r="AE25" s="138"/>
      <c r="AF25" s="138"/>
      <c r="AG25" s="139"/>
      <c r="AH25" s="139"/>
      <c r="AI25" s="138"/>
      <c r="AJ25" s="138"/>
    </row>
    <row r="26" spans="1:36" ht="151.5" hidden="1" customHeight="1" outlineLevel="1" x14ac:dyDescent="0.35">
      <c r="A26" s="210"/>
      <c r="B26" s="138"/>
      <c r="C26" s="138"/>
      <c r="D26" s="138"/>
      <c r="E26" s="150"/>
      <c r="F26" s="138"/>
      <c r="G26" s="138"/>
      <c r="H26" s="136"/>
      <c r="I26" s="204"/>
      <c r="J26" s="148"/>
      <c r="K26" s="279"/>
      <c r="L26" s="136"/>
      <c r="M26" s="204"/>
      <c r="N26" s="137"/>
      <c r="O26" s="131"/>
      <c r="P26" s="138"/>
      <c r="Q26" s="133"/>
      <c r="R26" s="134"/>
      <c r="S26" s="134"/>
      <c r="T26" s="204"/>
      <c r="U26" s="134"/>
      <c r="V26" s="134"/>
      <c r="W26" s="134"/>
      <c r="X26" s="135"/>
      <c r="Y26" s="136"/>
      <c r="Z26" s="204"/>
      <c r="AA26" s="136"/>
      <c r="AB26" s="204"/>
      <c r="AC26" s="137"/>
      <c r="AD26" s="134"/>
      <c r="AE26" s="138"/>
      <c r="AF26" s="138"/>
      <c r="AG26" s="139"/>
      <c r="AH26" s="139"/>
      <c r="AI26" s="138"/>
      <c r="AJ26" s="138"/>
    </row>
    <row r="27" spans="1:36" ht="151.5" hidden="1" customHeight="1" outlineLevel="1" x14ac:dyDescent="0.35">
      <c r="A27" s="210"/>
      <c r="B27" s="138"/>
      <c r="C27" s="138"/>
      <c r="D27" s="138"/>
      <c r="E27" s="150"/>
      <c r="F27" s="138"/>
      <c r="G27" s="138"/>
      <c r="H27" s="136"/>
      <c r="I27" s="204"/>
      <c r="J27" s="148"/>
      <c r="K27" s="279"/>
      <c r="L27" s="136"/>
      <c r="M27" s="204"/>
      <c r="N27" s="137"/>
      <c r="O27" s="131"/>
      <c r="P27" s="138"/>
      <c r="Q27" s="133"/>
      <c r="R27" s="134"/>
      <c r="S27" s="134"/>
      <c r="T27" s="204"/>
      <c r="U27" s="134"/>
      <c r="V27" s="134"/>
      <c r="W27" s="134"/>
      <c r="X27" s="135"/>
      <c r="Y27" s="136"/>
      <c r="Z27" s="204"/>
      <c r="AA27" s="136"/>
      <c r="AB27" s="204"/>
      <c r="AC27" s="137"/>
      <c r="AD27" s="134"/>
      <c r="AE27" s="138"/>
      <c r="AF27" s="138"/>
      <c r="AG27" s="139"/>
      <c r="AH27" s="139"/>
      <c r="AI27" s="138"/>
      <c r="AJ27" s="138"/>
    </row>
    <row r="28" spans="1:36" ht="318.75" hidden="1" customHeight="1" collapsed="1" x14ac:dyDescent="0.35">
      <c r="A28" s="210"/>
      <c r="B28" s="203"/>
      <c r="C28" s="219"/>
      <c r="D28" s="219"/>
      <c r="E28" s="219"/>
      <c r="F28" s="203"/>
      <c r="G28" s="203"/>
      <c r="H28" s="212"/>
      <c r="I28" s="214"/>
      <c r="J28" s="217"/>
      <c r="K28" s="279"/>
      <c r="L28" s="212"/>
      <c r="M28" s="214"/>
      <c r="N28" s="215"/>
      <c r="O28" s="210"/>
      <c r="P28" s="205"/>
      <c r="Q28" s="218"/>
      <c r="R28" s="213"/>
      <c r="S28" s="213"/>
      <c r="T28" s="214"/>
      <c r="U28" s="213"/>
      <c r="V28" s="213"/>
      <c r="W28" s="213"/>
      <c r="X28" s="121"/>
      <c r="Y28" s="212"/>
      <c r="Z28" s="214"/>
      <c r="AA28" s="212"/>
      <c r="AB28" s="214"/>
      <c r="AC28" s="215"/>
      <c r="AD28" s="213"/>
      <c r="AE28" s="200"/>
      <c r="AF28" s="205"/>
      <c r="AG28" s="281"/>
      <c r="AH28" s="281"/>
      <c r="AI28" s="276"/>
      <c r="AJ28" s="203"/>
    </row>
    <row r="29" spans="1:36" ht="151.5" hidden="1" customHeight="1" outlineLevel="1" x14ac:dyDescent="0.35">
      <c r="A29" s="131"/>
      <c r="B29" s="138"/>
      <c r="C29" s="207"/>
      <c r="D29" s="207"/>
      <c r="E29" s="207"/>
      <c r="F29" s="138"/>
      <c r="G29" s="138"/>
      <c r="H29" s="136"/>
      <c r="I29" s="204"/>
      <c r="J29" s="148"/>
      <c r="K29" s="279"/>
      <c r="L29" s="136"/>
      <c r="M29" s="204"/>
      <c r="N29" s="137"/>
      <c r="O29" s="131"/>
      <c r="P29" s="207"/>
      <c r="Q29" s="133"/>
      <c r="R29" s="134"/>
      <c r="S29" s="134"/>
      <c r="T29" s="204"/>
      <c r="U29" s="134"/>
      <c r="V29" s="134"/>
      <c r="W29" s="134"/>
      <c r="X29" s="135"/>
      <c r="Y29" s="136"/>
      <c r="Z29" s="204"/>
      <c r="AA29" s="136"/>
      <c r="AB29" s="204"/>
      <c r="AC29" s="137"/>
      <c r="AD29" s="134"/>
      <c r="AE29" s="151"/>
      <c r="AF29" s="151"/>
      <c r="AG29" s="281"/>
      <c r="AH29" s="283"/>
      <c r="AI29" s="276"/>
      <c r="AJ29" s="138"/>
    </row>
    <row r="30" spans="1:36" ht="151.5" hidden="1" customHeight="1" outlineLevel="1" x14ac:dyDescent="0.35">
      <c r="A30" s="131"/>
      <c r="B30" s="138"/>
      <c r="C30" s="138"/>
      <c r="D30" s="138"/>
      <c r="E30" s="150"/>
      <c r="F30" s="138"/>
      <c r="G30" s="138"/>
      <c r="H30" s="136"/>
      <c r="I30" s="204"/>
      <c r="J30" s="148"/>
      <c r="K30" s="279"/>
      <c r="L30" s="136"/>
      <c r="M30" s="204"/>
      <c r="N30" s="137"/>
      <c r="O30" s="131"/>
      <c r="P30" s="138"/>
      <c r="Q30" s="133"/>
      <c r="R30" s="134"/>
      <c r="S30" s="134"/>
      <c r="T30" s="204"/>
      <c r="U30" s="134"/>
      <c r="V30" s="134"/>
      <c r="W30" s="134"/>
      <c r="X30" s="135"/>
      <c r="Y30" s="136"/>
      <c r="Z30" s="204"/>
      <c r="AA30" s="136"/>
      <c r="AB30" s="204"/>
      <c r="AC30" s="137"/>
      <c r="AD30" s="134"/>
      <c r="AE30" s="138"/>
      <c r="AF30" s="138"/>
      <c r="AG30" s="139"/>
      <c r="AH30" s="139"/>
      <c r="AI30" s="138"/>
      <c r="AJ30" s="138"/>
    </row>
    <row r="31" spans="1:36" ht="151.5" hidden="1" customHeight="1" outlineLevel="1" x14ac:dyDescent="0.35">
      <c r="A31" s="131"/>
      <c r="B31" s="138"/>
      <c r="C31" s="138"/>
      <c r="D31" s="138"/>
      <c r="E31" s="150"/>
      <c r="F31" s="138"/>
      <c r="G31" s="138"/>
      <c r="H31" s="136"/>
      <c r="I31" s="204"/>
      <c r="J31" s="148"/>
      <c r="K31" s="279"/>
      <c r="L31" s="136"/>
      <c r="M31" s="204"/>
      <c r="N31" s="137"/>
      <c r="O31" s="131"/>
      <c r="P31" s="138"/>
      <c r="Q31" s="133"/>
      <c r="R31" s="134"/>
      <c r="S31" s="134"/>
      <c r="T31" s="204"/>
      <c r="U31" s="134"/>
      <c r="V31" s="134"/>
      <c r="W31" s="134"/>
      <c r="X31" s="135"/>
      <c r="Y31" s="136"/>
      <c r="Z31" s="204"/>
      <c r="AA31" s="136"/>
      <c r="AB31" s="204"/>
      <c r="AC31" s="137"/>
      <c r="AD31" s="134"/>
      <c r="AE31" s="138"/>
      <c r="AF31" s="138"/>
      <c r="AG31" s="139"/>
      <c r="AH31" s="139"/>
      <c r="AI31" s="138"/>
      <c r="AJ31" s="138"/>
    </row>
    <row r="32" spans="1:36" ht="151.5" hidden="1" customHeight="1" outlineLevel="1" x14ac:dyDescent="0.35">
      <c r="A32" s="131"/>
      <c r="B32" s="138"/>
      <c r="C32" s="138"/>
      <c r="D32" s="138"/>
      <c r="E32" s="150"/>
      <c r="F32" s="138"/>
      <c r="G32" s="138"/>
      <c r="H32" s="136"/>
      <c r="I32" s="204"/>
      <c r="J32" s="148"/>
      <c r="K32" s="279"/>
      <c r="L32" s="136"/>
      <c r="M32" s="204"/>
      <c r="N32" s="137"/>
      <c r="O32" s="131"/>
      <c r="P32" s="138"/>
      <c r="Q32" s="133"/>
      <c r="R32" s="134"/>
      <c r="S32" s="134"/>
      <c r="T32" s="204"/>
      <c r="U32" s="134"/>
      <c r="V32" s="134"/>
      <c r="W32" s="134"/>
      <c r="X32" s="149"/>
      <c r="Y32" s="136"/>
      <c r="Z32" s="204"/>
      <c r="AA32" s="136"/>
      <c r="AB32" s="204"/>
      <c r="AC32" s="137"/>
      <c r="AD32" s="134"/>
      <c r="AE32" s="138"/>
      <c r="AF32" s="138"/>
      <c r="AG32" s="139"/>
      <c r="AH32" s="139"/>
      <c r="AI32" s="138"/>
      <c r="AJ32" s="138"/>
    </row>
    <row r="33" spans="1:36" ht="151.5" hidden="1" customHeight="1" outlineLevel="1" x14ac:dyDescent="0.35">
      <c r="A33" s="131"/>
      <c r="B33" s="138"/>
      <c r="C33" s="138"/>
      <c r="D33" s="138"/>
      <c r="E33" s="150"/>
      <c r="F33" s="138"/>
      <c r="G33" s="138"/>
      <c r="H33" s="136"/>
      <c r="I33" s="204"/>
      <c r="J33" s="148"/>
      <c r="K33" s="279"/>
      <c r="L33" s="136"/>
      <c r="M33" s="204"/>
      <c r="N33" s="137"/>
      <c r="O33" s="131"/>
      <c r="P33" s="138"/>
      <c r="Q33" s="133"/>
      <c r="R33" s="134"/>
      <c r="S33" s="134"/>
      <c r="T33" s="204"/>
      <c r="U33" s="134"/>
      <c r="V33" s="134"/>
      <c r="W33" s="134"/>
      <c r="X33" s="135"/>
      <c r="Y33" s="136"/>
      <c r="Z33" s="204"/>
      <c r="AA33" s="136"/>
      <c r="AB33" s="204"/>
      <c r="AC33" s="137"/>
      <c r="AD33" s="134"/>
      <c r="AE33" s="138"/>
      <c r="AF33" s="138"/>
      <c r="AG33" s="139"/>
      <c r="AH33" s="139"/>
      <c r="AI33" s="138"/>
      <c r="AJ33" s="138"/>
    </row>
    <row r="34" spans="1:36" ht="298.5" hidden="1" customHeight="1" collapsed="1" x14ac:dyDescent="0.35">
      <c r="A34" s="210"/>
      <c r="B34" s="203"/>
      <c r="C34" s="205"/>
      <c r="D34" s="219"/>
      <c r="E34" s="156"/>
      <c r="F34" s="203"/>
      <c r="G34" s="203"/>
      <c r="H34" s="212"/>
      <c r="I34" s="214"/>
      <c r="J34" s="217"/>
      <c r="K34" s="279"/>
      <c r="L34" s="212"/>
      <c r="M34" s="214"/>
      <c r="N34" s="215"/>
      <c r="O34" s="210"/>
      <c r="P34" s="205"/>
      <c r="Q34" s="218"/>
      <c r="R34" s="213"/>
      <c r="S34" s="213"/>
      <c r="T34" s="214"/>
      <c r="U34" s="213"/>
      <c r="V34" s="213"/>
      <c r="W34" s="213"/>
      <c r="X34" s="121"/>
      <c r="Y34" s="212"/>
      <c r="Z34" s="214"/>
      <c r="AA34" s="212"/>
      <c r="AB34" s="214"/>
      <c r="AC34" s="215"/>
      <c r="AD34" s="213"/>
      <c r="AE34" s="211"/>
      <c r="AF34" s="205"/>
      <c r="AG34" s="281"/>
      <c r="AH34" s="281"/>
      <c r="AI34" s="276"/>
      <c r="AJ34" s="203"/>
    </row>
    <row r="35" spans="1:36" ht="151.5" hidden="1" customHeight="1" outlineLevel="1" x14ac:dyDescent="0.35">
      <c r="A35" s="210"/>
      <c r="B35" s="203"/>
      <c r="C35" s="207"/>
      <c r="D35" s="207"/>
      <c r="E35" s="207"/>
      <c r="F35" s="138"/>
      <c r="G35" s="138"/>
      <c r="H35" s="136"/>
      <c r="I35" s="204"/>
      <c r="J35" s="148"/>
      <c r="K35" s="279"/>
      <c r="L35" s="136"/>
      <c r="M35" s="204"/>
      <c r="N35" s="137"/>
      <c r="O35" s="131"/>
      <c r="P35" s="207"/>
      <c r="Q35" s="133"/>
      <c r="R35" s="134"/>
      <c r="S35" s="134"/>
      <c r="T35" s="204"/>
      <c r="U35" s="134"/>
      <c r="V35" s="134"/>
      <c r="W35" s="134"/>
      <c r="X35" s="135"/>
      <c r="Y35" s="136"/>
      <c r="Z35" s="204"/>
      <c r="AA35" s="136"/>
      <c r="AB35" s="204"/>
      <c r="AC35" s="137"/>
      <c r="AD35" s="134"/>
      <c r="AE35" s="151"/>
      <c r="AF35" s="151"/>
      <c r="AG35" s="281"/>
      <c r="AH35" s="283"/>
      <c r="AI35" s="276"/>
      <c r="AJ35" s="138"/>
    </row>
    <row r="36" spans="1:36" ht="151.5" hidden="1" customHeight="1" outlineLevel="1" x14ac:dyDescent="0.35">
      <c r="A36" s="210"/>
      <c r="B36" s="203"/>
      <c r="C36" s="138"/>
      <c r="D36" s="138"/>
      <c r="E36" s="150"/>
      <c r="F36" s="138"/>
      <c r="G36" s="138"/>
      <c r="H36" s="136"/>
      <c r="I36" s="204"/>
      <c r="J36" s="148"/>
      <c r="K36" s="279"/>
      <c r="L36" s="136"/>
      <c r="M36" s="204"/>
      <c r="N36" s="137"/>
      <c r="O36" s="131"/>
      <c r="P36" s="138"/>
      <c r="Q36" s="133"/>
      <c r="R36" s="134"/>
      <c r="S36" s="134"/>
      <c r="T36" s="204"/>
      <c r="U36" s="134"/>
      <c r="V36" s="134"/>
      <c r="W36" s="134"/>
      <c r="X36" s="135"/>
      <c r="Y36" s="136"/>
      <c r="Z36" s="204"/>
      <c r="AA36" s="136"/>
      <c r="AB36" s="204"/>
      <c r="AC36" s="137"/>
      <c r="AD36" s="134"/>
      <c r="AE36" s="138"/>
      <c r="AF36" s="138"/>
      <c r="AG36" s="139"/>
      <c r="AH36" s="139"/>
      <c r="AI36" s="138"/>
      <c r="AJ36" s="138"/>
    </row>
    <row r="37" spans="1:36" ht="151.5" hidden="1" customHeight="1" outlineLevel="1" x14ac:dyDescent="0.35">
      <c r="A37" s="210"/>
      <c r="B37" s="203"/>
      <c r="C37" s="138"/>
      <c r="D37" s="138"/>
      <c r="E37" s="150"/>
      <c r="F37" s="138"/>
      <c r="G37" s="138"/>
      <c r="H37" s="136"/>
      <c r="I37" s="204"/>
      <c r="J37" s="148"/>
      <c r="K37" s="279"/>
      <c r="L37" s="136"/>
      <c r="M37" s="204"/>
      <c r="N37" s="137"/>
      <c r="O37" s="131"/>
      <c r="P37" s="138"/>
      <c r="Q37" s="133"/>
      <c r="R37" s="134"/>
      <c r="S37" s="134"/>
      <c r="T37" s="204"/>
      <c r="U37" s="134"/>
      <c r="V37" s="134"/>
      <c r="W37" s="134"/>
      <c r="X37" s="135"/>
      <c r="Y37" s="136"/>
      <c r="Z37" s="204"/>
      <c r="AA37" s="136"/>
      <c r="AB37" s="204"/>
      <c r="AC37" s="137"/>
      <c r="AD37" s="134"/>
      <c r="AE37" s="138"/>
      <c r="AF37" s="138"/>
      <c r="AG37" s="139"/>
      <c r="AH37" s="139"/>
      <c r="AI37" s="138"/>
      <c r="AJ37" s="138"/>
    </row>
    <row r="38" spans="1:36" ht="151.5" hidden="1" customHeight="1" outlineLevel="1" x14ac:dyDescent="0.35">
      <c r="A38" s="210"/>
      <c r="B38" s="203"/>
      <c r="C38" s="138"/>
      <c r="D38" s="138"/>
      <c r="E38" s="150"/>
      <c r="F38" s="138"/>
      <c r="G38" s="138"/>
      <c r="H38" s="136"/>
      <c r="I38" s="204"/>
      <c r="J38" s="148"/>
      <c r="K38" s="279"/>
      <c r="L38" s="136"/>
      <c r="M38" s="204"/>
      <c r="N38" s="137"/>
      <c r="O38" s="131"/>
      <c r="P38" s="138"/>
      <c r="Q38" s="133"/>
      <c r="R38" s="134"/>
      <c r="S38" s="134"/>
      <c r="T38" s="204"/>
      <c r="U38" s="134"/>
      <c r="V38" s="134"/>
      <c r="W38" s="134"/>
      <c r="X38" s="135"/>
      <c r="Y38" s="136"/>
      <c r="Z38" s="204"/>
      <c r="AA38" s="136"/>
      <c r="AB38" s="204"/>
      <c r="AC38" s="137"/>
      <c r="AD38" s="134"/>
      <c r="AE38" s="138"/>
      <c r="AF38" s="138"/>
      <c r="AG38" s="139"/>
      <c r="AH38" s="139"/>
      <c r="AI38" s="138"/>
      <c r="AJ38" s="138"/>
    </row>
    <row r="39" spans="1:36" ht="151.5" hidden="1" customHeight="1" outlineLevel="1" x14ac:dyDescent="0.35">
      <c r="A39" s="210"/>
      <c r="B39" s="203"/>
      <c r="C39" s="138"/>
      <c r="D39" s="138"/>
      <c r="E39" s="150"/>
      <c r="F39" s="138"/>
      <c r="G39" s="138"/>
      <c r="H39" s="136"/>
      <c r="I39" s="204"/>
      <c r="J39" s="148"/>
      <c r="K39" s="279"/>
      <c r="L39" s="136"/>
      <c r="M39" s="204"/>
      <c r="N39" s="137"/>
      <c r="O39" s="131"/>
      <c r="P39" s="138"/>
      <c r="Q39" s="133"/>
      <c r="R39" s="134"/>
      <c r="S39" s="134"/>
      <c r="T39" s="204"/>
      <c r="U39" s="134"/>
      <c r="V39" s="134"/>
      <c r="W39" s="134"/>
      <c r="X39" s="135"/>
      <c r="Y39" s="136"/>
      <c r="Z39" s="204"/>
      <c r="AA39" s="136"/>
      <c r="AB39" s="204"/>
      <c r="AC39" s="137"/>
      <c r="AD39" s="134"/>
      <c r="AE39" s="138"/>
      <c r="AF39" s="138"/>
      <c r="AG39" s="139"/>
      <c r="AH39" s="139"/>
      <c r="AI39" s="138"/>
      <c r="AJ39" s="138"/>
    </row>
    <row r="40" spans="1:36" ht="331.5" hidden="1" customHeight="1" collapsed="1" x14ac:dyDescent="0.35">
      <c r="A40" s="210"/>
      <c r="B40" s="203"/>
      <c r="C40" s="201"/>
      <c r="D40" s="202"/>
      <c r="E40" s="156"/>
      <c r="F40" s="203"/>
      <c r="G40" s="203"/>
      <c r="H40" s="212"/>
      <c r="I40" s="214"/>
      <c r="J40" s="217"/>
      <c r="K40" s="279"/>
      <c r="L40" s="212"/>
      <c r="M40" s="214"/>
      <c r="N40" s="215"/>
      <c r="O40" s="210"/>
      <c r="P40" s="205"/>
      <c r="Q40" s="218"/>
      <c r="R40" s="213"/>
      <c r="S40" s="213"/>
      <c r="T40" s="214"/>
      <c r="U40" s="213"/>
      <c r="V40" s="213"/>
      <c r="W40" s="213"/>
      <c r="X40" s="121"/>
      <c r="Y40" s="212"/>
      <c r="Z40" s="214"/>
      <c r="AA40" s="212"/>
      <c r="AB40" s="214"/>
      <c r="AC40" s="215"/>
      <c r="AD40" s="213"/>
      <c r="AE40" s="211"/>
      <c r="AF40" s="205"/>
      <c r="AG40" s="281"/>
      <c r="AH40" s="281"/>
      <c r="AI40" s="276"/>
      <c r="AJ40" s="203"/>
    </row>
    <row r="41" spans="1:36" ht="151.5" hidden="1" customHeight="1" outlineLevel="1" x14ac:dyDescent="0.35">
      <c r="A41" s="140"/>
      <c r="B41" s="126"/>
      <c r="C41" s="126"/>
      <c r="D41" s="126"/>
      <c r="E41" s="152"/>
      <c r="F41" s="126"/>
      <c r="G41" s="126"/>
      <c r="H41" s="153"/>
      <c r="I41" s="128"/>
      <c r="J41" s="129"/>
      <c r="K41" s="279"/>
      <c r="L41" s="153"/>
      <c r="M41" s="128"/>
      <c r="N41" s="154"/>
      <c r="O41" s="131"/>
      <c r="P41" s="132"/>
      <c r="Q41" s="133"/>
      <c r="R41" s="134"/>
      <c r="S41" s="134"/>
      <c r="T41" s="204"/>
      <c r="U41" s="134"/>
      <c r="V41" s="134"/>
      <c r="W41" s="134"/>
      <c r="X41" s="135"/>
      <c r="Y41" s="136"/>
      <c r="Z41" s="204"/>
      <c r="AA41" s="136"/>
      <c r="AB41" s="204"/>
      <c r="AC41" s="137"/>
      <c r="AD41" s="134"/>
      <c r="AE41" s="138"/>
      <c r="AF41" s="138"/>
      <c r="AG41" s="281"/>
      <c r="AH41" s="283"/>
      <c r="AI41" s="276"/>
      <c r="AJ41" s="138"/>
    </row>
    <row r="42" spans="1:36" ht="151.5" hidden="1" customHeight="1" outlineLevel="1" x14ac:dyDescent="0.35">
      <c r="A42" s="140"/>
      <c r="B42" s="126"/>
      <c r="C42" s="126"/>
      <c r="D42" s="126"/>
      <c r="E42" s="152"/>
      <c r="F42" s="126"/>
      <c r="G42" s="126"/>
      <c r="H42" s="153"/>
      <c r="I42" s="128"/>
      <c r="J42" s="129"/>
      <c r="K42" s="279"/>
      <c r="L42" s="153"/>
      <c r="M42" s="128"/>
      <c r="N42" s="154"/>
      <c r="O42" s="131"/>
      <c r="P42" s="132"/>
      <c r="Q42" s="133"/>
      <c r="R42" s="134"/>
      <c r="S42" s="134"/>
      <c r="T42" s="204"/>
      <c r="U42" s="134"/>
      <c r="V42" s="134"/>
      <c r="W42" s="134"/>
      <c r="X42" s="135"/>
      <c r="Y42" s="136"/>
      <c r="Z42" s="204"/>
      <c r="AA42" s="136"/>
      <c r="AB42" s="204"/>
      <c r="AC42" s="137"/>
      <c r="AD42" s="134"/>
      <c r="AE42" s="138"/>
      <c r="AF42" s="138"/>
      <c r="AG42" s="139"/>
      <c r="AH42" s="139"/>
      <c r="AI42" s="138"/>
      <c r="AJ42" s="138"/>
    </row>
    <row r="43" spans="1:36" ht="151.5" hidden="1" customHeight="1" outlineLevel="1" x14ac:dyDescent="0.35">
      <c r="A43" s="140"/>
      <c r="B43" s="126"/>
      <c r="C43" s="126"/>
      <c r="D43" s="126"/>
      <c r="E43" s="152"/>
      <c r="F43" s="126"/>
      <c r="G43" s="126"/>
      <c r="H43" s="153"/>
      <c r="I43" s="128"/>
      <c r="J43" s="129"/>
      <c r="K43" s="279"/>
      <c r="L43" s="153"/>
      <c r="M43" s="128"/>
      <c r="N43" s="154"/>
      <c r="O43" s="131"/>
      <c r="P43" s="132"/>
      <c r="Q43" s="133"/>
      <c r="R43" s="134"/>
      <c r="S43" s="134"/>
      <c r="T43" s="204"/>
      <c r="U43" s="134"/>
      <c r="V43" s="134"/>
      <c r="W43" s="134"/>
      <c r="X43" s="135"/>
      <c r="Y43" s="136"/>
      <c r="Z43" s="204"/>
      <c r="AA43" s="136"/>
      <c r="AB43" s="204"/>
      <c r="AC43" s="137"/>
      <c r="AD43" s="134"/>
      <c r="AE43" s="138"/>
      <c r="AF43" s="138"/>
      <c r="AG43" s="139"/>
      <c r="AH43" s="139"/>
      <c r="AI43" s="138"/>
      <c r="AJ43" s="138"/>
    </row>
    <row r="44" spans="1:36" ht="151.5" hidden="1" customHeight="1" outlineLevel="1" x14ac:dyDescent="0.35">
      <c r="A44" s="140"/>
      <c r="B44" s="126"/>
      <c r="C44" s="126"/>
      <c r="D44" s="126"/>
      <c r="E44" s="152"/>
      <c r="F44" s="126"/>
      <c r="G44" s="126"/>
      <c r="H44" s="153"/>
      <c r="I44" s="128"/>
      <c r="J44" s="129"/>
      <c r="K44" s="279"/>
      <c r="L44" s="153"/>
      <c r="M44" s="128"/>
      <c r="N44" s="154"/>
      <c r="O44" s="131"/>
      <c r="P44" s="132"/>
      <c r="Q44" s="133"/>
      <c r="R44" s="134"/>
      <c r="S44" s="134"/>
      <c r="T44" s="204"/>
      <c r="U44" s="134"/>
      <c r="V44" s="134"/>
      <c r="W44" s="134"/>
      <c r="X44" s="135"/>
      <c r="Y44" s="136"/>
      <c r="Z44" s="204"/>
      <c r="AA44" s="136"/>
      <c r="AB44" s="204"/>
      <c r="AC44" s="137"/>
      <c r="AD44" s="134"/>
      <c r="AE44" s="138"/>
      <c r="AF44" s="138"/>
      <c r="AG44" s="139"/>
      <c r="AH44" s="139"/>
      <c r="AI44" s="138"/>
      <c r="AJ44" s="138"/>
    </row>
    <row r="45" spans="1:36" ht="151.5" hidden="1" customHeight="1" outlineLevel="1" x14ac:dyDescent="0.35">
      <c r="A45" s="140"/>
      <c r="B45" s="126"/>
      <c r="C45" s="126"/>
      <c r="D45" s="126"/>
      <c r="E45" s="152"/>
      <c r="F45" s="126"/>
      <c r="G45" s="126"/>
      <c r="H45" s="153"/>
      <c r="I45" s="128"/>
      <c r="J45" s="129"/>
      <c r="K45" s="279"/>
      <c r="L45" s="153"/>
      <c r="M45" s="128"/>
      <c r="N45" s="154"/>
      <c r="O45" s="131"/>
      <c r="P45" s="132"/>
      <c r="Q45" s="133"/>
      <c r="R45" s="134"/>
      <c r="S45" s="134"/>
      <c r="T45" s="204"/>
      <c r="U45" s="134"/>
      <c r="V45" s="134"/>
      <c r="W45" s="134"/>
      <c r="X45" s="135"/>
      <c r="Y45" s="136"/>
      <c r="Z45" s="204"/>
      <c r="AA45" s="136"/>
      <c r="AB45" s="204"/>
      <c r="AC45" s="137"/>
      <c r="AD45" s="134"/>
      <c r="AE45" s="138"/>
      <c r="AF45" s="138"/>
      <c r="AG45" s="139"/>
      <c r="AH45" s="139"/>
      <c r="AI45" s="138"/>
      <c r="AJ45" s="138"/>
    </row>
    <row r="46" spans="1:36" ht="151.5" hidden="1" customHeight="1" collapsed="1" x14ac:dyDescent="0.35">
      <c r="A46" s="155"/>
      <c r="B46" s="205"/>
      <c r="C46" s="205"/>
      <c r="D46" s="205"/>
      <c r="E46" s="156"/>
      <c r="F46" s="205"/>
      <c r="G46" s="205"/>
      <c r="H46" s="157" t="str">
        <f>IF(G46&lt;=0,"",IF(G46&lt;=2,"Muy Baja",IF(G46&lt;=24,"Baja",IF(G46&lt;=500,"Media",IF(G46&lt;=5000,"Alta","Muy Alta")))))</f>
        <v/>
      </c>
      <c r="I46" s="158" t="str">
        <f>IF(H46="","",IF(H46="Muy Baja",0.2,IF(H46="Baja",0.4,IF(H46="Media",0.6,IF(H46="Alta",0.8,IF(H46="Muy Alta",1,))))))</f>
        <v/>
      </c>
      <c r="J46" s="159"/>
      <c r="K46" s="282">
        <f>IF(NOT(ISERROR(MATCH(J46,'Tabla Impacto'!$B$221:$B$223,0))),'Tabla Impacto'!$F$223&amp;"Por favor no seleccionar los criterios de impacto(Afectación Económica o presupuestal y Pérdida Reputacional)",J46)</f>
        <v>0</v>
      </c>
      <c r="L46" s="157" t="str">
        <f>IF(OR(K46='Tabla Impacto'!$C$11,K46='Tabla Impacto'!$D$11),"Leve",IF(OR(K46='Tabla Impacto'!$C$12,K46='Tabla Impacto'!$D$12),"Menor",IF(OR(K46='Tabla Impacto'!$C$13,K46='Tabla Impacto'!$D$13),"Moderado",IF(OR(K46='Tabla Impacto'!$C$14,K46='Tabla Impacto'!$D$14),"Mayor",IF(OR(K46='Tabla Impacto'!$C$15,K46='Tabla Impacto'!$D$15),"Catastrófico","")))))</f>
        <v/>
      </c>
      <c r="M46" s="158" t="str">
        <f>IF(L46="","",IF(L46="Leve",0.2,IF(L46="Menor",0.4,IF(L46="Moderado",0.6,IF(L46="Mayor",0.8,IF(L46="Catastrófico",1,))))))</f>
        <v/>
      </c>
      <c r="N46" s="160"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55"/>
      <c r="P46" s="205"/>
      <c r="Q46" s="161" t="str">
        <f>IF(OR(R46="Preventivo",R46="Detectivo"),"Probabilidad",IF(R46="Correctivo","Impacto",""))</f>
        <v/>
      </c>
      <c r="R46" s="162"/>
      <c r="S46" s="162"/>
      <c r="T46" s="158" t="str">
        <f>IF(AND(R46="Preventivo",S46="Automático"),"50%",IF(AND(R46="Preventivo",S46="Manual"),"40%",IF(AND(R46="Detectivo",S46="Automático"),"40%",IF(AND(R46="Detectivo",S46="Manual"),"30%",IF(AND(R46="Correctivo",S46="Automático"),"35%",IF(AND(R46="Correctivo",S46="Manual"),"25%",""))))))</f>
        <v/>
      </c>
      <c r="U46" s="162"/>
      <c r="V46" s="162"/>
      <c r="W46" s="162"/>
      <c r="X46" s="163" t="str">
        <f>IFERROR(IF(Q46="Probabilidad",(I46-(+I46*T46)),IF(Q46="Impacto",I46,"")),"")</f>
        <v/>
      </c>
      <c r="Y46" s="164" t="str">
        <f>IFERROR(IF(X46="","",IF(X46&lt;=0.2,"Muy Baja",IF(X46&lt;=0.4,"Baja",IF(X46&lt;=0.6,"Media",IF(X46&lt;=0.8,"Alta","Muy Alta"))))),"")</f>
        <v/>
      </c>
      <c r="Z46" s="158" t="str">
        <f>+X46</f>
        <v/>
      </c>
      <c r="AA46" s="164" t="str">
        <f>IFERROR(IF(AB46="","",IF(AB46&lt;=0.2,"Leve",IF(AB46&lt;=0.4,"Menor",IF(AB46&lt;=0.6,"Moderado",IF(AB46&lt;=0.8,"Mayor","Catastrófico"))))),"")</f>
        <v/>
      </c>
      <c r="AB46" s="158" t="str">
        <f>IFERROR(IF(Q46="Impacto",(M46-(+M46*T46)),IF(Q46="Probabilidad",M46,"")),"")</f>
        <v/>
      </c>
      <c r="AC46" s="165"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62"/>
      <c r="AE46" s="205"/>
      <c r="AF46" s="205"/>
      <c r="AG46" s="166"/>
      <c r="AH46" s="166"/>
      <c r="AI46" s="205"/>
      <c r="AJ46" s="205"/>
    </row>
    <row r="47" spans="1:36" ht="151.5" hidden="1" customHeight="1" outlineLevel="1" x14ac:dyDescent="0.35">
      <c r="A47" s="167"/>
      <c r="B47" s="168"/>
      <c r="C47" s="168"/>
      <c r="D47" s="168"/>
      <c r="E47" s="169"/>
      <c r="F47" s="168"/>
      <c r="G47" s="168"/>
      <c r="H47" s="170"/>
      <c r="I47" s="171"/>
      <c r="J47" s="172"/>
      <c r="K47" s="282">
        <f t="shared" ref="K47:K51" si="15">IF(NOT(ISERROR(MATCH(J47,_xlfn.ANCHORARRAY(E58),0))),I60&amp;"Por favor no seleccionar los criterios de impacto",J47)</f>
        <v>0</v>
      </c>
      <c r="L47" s="170"/>
      <c r="M47" s="171"/>
      <c r="N47" s="173"/>
      <c r="O47" s="208">
        <v>2</v>
      </c>
      <c r="P47" s="174"/>
      <c r="Q47" s="175" t="str">
        <f>IF(OR(R47="Preventivo",R47="Detectivo"),"Probabilidad",IF(R47="Correctivo","Impacto",""))</f>
        <v/>
      </c>
      <c r="R47" s="176"/>
      <c r="S47" s="176"/>
      <c r="T47" s="206" t="str">
        <f t="shared" ref="T47:T51" si="16">IF(AND(R47="Preventivo",S47="Automático"),"50%",IF(AND(R47="Preventivo",S47="Manual"),"40%",IF(AND(R47="Detectivo",S47="Automático"),"40%",IF(AND(R47="Detectivo",S47="Manual"),"30%",IF(AND(R47="Correctivo",S47="Automático"),"35%",IF(AND(R47="Correctivo",S47="Manual"),"25%",""))))))</f>
        <v/>
      </c>
      <c r="U47" s="176"/>
      <c r="V47" s="176"/>
      <c r="W47" s="176"/>
      <c r="X47" s="177" t="str">
        <f>IFERROR(IF(AND(Q46="Probabilidad",Q47="Probabilidad"),(Z46-(+Z46*T47)),IF(Q47="Probabilidad",(I46-(+I46*T47)),IF(Q47="Impacto",Z46,""))),"")</f>
        <v/>
      </c>
      <c r="Y47" s="178" t="str">
        <f t="shared" si="1"/>
        <v/>
      </c>
      <c r="Z47" s="206" t="str">
        <f t="shared" ref="Z47:Z51" si="17">+X47</f>
        <v/>
      </c>
      <c r="AA47" s="178" t="str">
        <f t="shared" si="3"/>
        <v/>
      </c>
      <c r="AB47" s="206" t="str">
        <f>IFERROR(IF(AND(Q46="Impacto",Q47="Impacto"),(AB40-(+AB40*T47)),IF(Q47="Impacto",($M$46-(+$M$46*T47)),IF(Q47="Probabilidad",AB40,""))),"")</f>
        <v/>
      </c>
      <c r="AC47" s="179" t="str">
        <f t="shared" ref="AC47:AC48" si="1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76"/>
      <c r="AE47" s="209"/>
      <c r="AF47" s="209"/>
      <c r="AG47" s="180"/>
      <c r="AH47" s="180"/>
      <c r="AI47" s="209"/>
      <c r="AJ47" s="209"/>
    </row>
    <row r="48" spans="1:36" ht="151.5" hidden="1" customHeight="1" outlineLevel="1" x14ac:dyDescent="0.35">
      <c r="A48" s="167"/>
      <c r="B48" s="168"/>
      <c r="C48" s="168"/>
      <c r="D48" s="168"/>
      <c r="E48" s="169"/>
      <c r="F48" s="168"/>
      <c r="G48" s="168"/>
      <c r="H48" s="170"/>
      <c r="I48" s="171"/>
      <c r="J48" s="172"/>
      <c r="K48" s="282">
        <f t="shared" si="15"/>
        <v>0</v>
      </c>
      <c r="L48" s="170"/>
      <c r="M48" s="171"/>
      <c r="N48" s="173"/>
      <c r="O48" s="208">
        <v>3</v>
      </c>
      <c r="P48" s="174"/>
      <c r="Q48" s="175" t="str">
        <f>IF(OR(R48="Preventivo",R48="Detectivo"),"Probabilidad",IF(R48="Correctivo","Impacto",""))</f>
        <v/>
      </c>
      <c r="R48" s="176"/>
      <c r="S48" s="176"/>
      <c r="T48" s="206" t="str">
        <f t="shared" si="16"/>
        <v/>
      </c>
      <c r="U48" s="176"/>
      <c r="V48" s="176"/>
      <c r="W48" s="176"/>
      <c r="X48" s="177" t="str">
        <f>IFERROR(IF(AND(Q47="Probabilidad",Q48="Probabilidad"),(Z47-(+Z47*T48)),IF(AND(Q47="Impacto",Q48="Probabilidad"),(Z46-(+Z46*T48)),IF(Q48="Impacto",Z47,""))),"")</f>
        <v/>
      </c>
      <c r="Y48" s="178" t="str">
        <f t="shared" si="1"/>
        <v/>
      </c>
      <c r="Z48" s="206" t="str">
        <f t="shared" si="17"/>
        <v/>
      </c>
      <c r="AA48" s="178" t="str">
        <f t="shared" si="3"/>
        <v/>
      </c>
      <c r="AB48" s="206" t="str">
        <f>IFERROR(IF(AND(Q47="Impacto",Q48="Impacto"),(AB47-(+AB47*T48)),IF(AND(Q47="Probabilidad",Q48="Impacto"),(AB46-(+AB46*T48)),IF(Q48="Probabilidad",AB47,""))),"")</f>
        <v/>
      </c>
      <c r="AC48" s="179" t="str">
        <f t="shared" si="18"/>
        <v/>
      </c>
      <c r="AD48" s="176"/>
      <c r="AE48" s="209"/>
      <c r="AF48" s="209"/>
      <c r="AG48" s="180"/>
      <c r="AH48" s="180"/>
      <c r="AI48" s="209"/>
      <c r="AJ48" s="209"/>
    </row>
    <row r="49" spans="1:36" ht="151.5" hidden="1" customHeight="1" outlineLevel="1" x14ac:dyDescent="0.35">
      <c r="A49" s="167"/>
      <c r="B49" s="168"/>
      <c r="C49" s="168"/>
      <c r="D49" s="168"/>
      <c r="E49" s="169"/>
      <c r="F49" s="168"/>
      <c r="G49" s="168"/>
      <c r="H49" s="170"/>
      <c r="I49" s="171"/>
      <c r="J49" s="172"/>
      <c r="K49" s="282">
        <f t="shared" si="15"/>
        <v>0</v>
      </c>
      <c r="L49" s="170"/>
      <c r="M49" s="171"/>
      <c r="N49" s="173"/>
      <c r="O49" s="208">
        <v>4</v>
      </c>
      <c r="P49" s="174"/>
      <c r="Q49" s="175" t="str">
        <f t="shared" ref="Q49:Q51" si="19">IF(OR(R49="Preventivo",R49="Detectivo"),"Probabilidad",IF(R49="Correctivo","Impacto",""))</f>
        <v/>
      </c>
      <c r="R49" s="176"/>
      <c r="S49" s="176"/>
      <c r="T49" s="206" t="str">
        <f t="shared" si="16"/>
        <v/>
      </c>
      <c r="U49" s="176"/>
      <c r="V49" s="176"/>
      <c r="W49" s="176"/>
      <c r="X49" s="177" t="str">
        <f t="shared" ref="X49:X51" si="20">IFERROR(IF(AND(Q48="Probabilidad",Q49="Probabilidad"),(Z48-(+Z48*T49)),IF(AND(Q48="Impacto",Q49="Probabilidad"),(Z47-(+Z47*T49)),IF(Q49="Impacto",Z48,""))),"")</f>
        <v/>
      </c>
      <c r="Y49" s="178" t="str">
        <f t="shared" si="1"/>
        <v/>
      </c>
      <c r="Z49" s="206" t="str">
        <f t="shared" si="17"/>
        <v/>
      </c>
      <c r="AA49" s="178" t="str">
        <f t="shared" si="3"/>
        <v/>
      </c>
      <c r="AB49" s="206" t="str">
        <f t="shared" ref="AB49:AB51" si="21">IFERROR(IF(AND(Q48="Impacto",Q49="Impacto"),(AB48-(+AB48*T49)),IF(AND(Q48="Probabilidad",Q49="Impacto"),(AB47-(+AB47*T49)),IF(Q49="Probabilidad",AB48,""))),"")</f>
        <v/>
      </c>
      <c r="AC49" s="179"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6"/>
      <c r="AE49" s="209"/>
      <c r="AF49" s="209"/>
      <c r="AG49" s="180"/>
      <c r="AH49" s="180"/>
      <c r="AI49" s="209"/>
      <c r="AJ49" s="209"/>
    </row>
    <row r="50" spans="1:36" ht="151.5" hidden="1" customHeight="1" outlineLevel="1" x14ac:dyDescent="0.35">
      <c r="A50" s="167"/>
      <c r="B50" s="168"/>
      <c r="C50" s="168"/>
      <c r="D50" s="168"/>
      <c r="E50" s="169"/>
      <c r="F50" s="168"/>
      <c r="G50" s="168"/>
      <c r="H50" s="170"/>
      <c r="I50" s="171"/>
      <c r="J50" s="172"/>
      <c r="K50" s="282">
        <f t="shared" si="15"/>
        <v>0</v>
      </c>
      <c r="L50" s="170"/>
      <c r="M50" s="171"/>
      <c r="N50" s="173"/>
      <c r="O50" s="208">
        <v>5</v>
      </c>
      <c r="P50" s="174"/>
      <c r="Q50" s="175" t="str">
        <f t="shared" si="19"/>
        <v/>
      </c>
      <c r="R50" s="176"/>
      <c r="S50" s="176"/>
      <c r="T50" s="206" t="str">
        <f t="shared" si="16"/>
        <v/>
      </c>
      <c r="U50" s="176"/>
      <c r="V50" s="176"/>
      <c r="W50" s="176"/>
      <c r="X50" s="177" t="str">
        <f t="shared" si="20"/>
        <v/>
      </c>
      <c r="Y50" s="178" t="str">
        <f t="shared" si="1"/>
        <v/>
      </c>
      <c r="Z50" s="206" t="str">
        <f t="shared" si="17"/>
        <v/>
      </c>
      <c r="AA50" s="178" t="str">
        <f t="shared" si="3"/>
        <v/>
      </c>
      <c r="AB50" s="206" t="str">
        <f t="shared" si="21"/>
        <v/>
      </c>
      <c r="AC50" s="179" t="str">
        <f t="shared" ref="AC50:AC51" si="2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76"/>
      <c r="AE50" s="209"/>
      <c r="AF50" s="209"/>
      <c r="AG50" s="180"/>
      <c r="AH50" s="180"/>
      <c r="AI50" s="209"/>
      <c r="AJ50" s="209"/>
    </row>
    <row r="51" spans="1:36" ht="151.5" hidden="1" customHeight="1" outlineLevel="1" x14ac:dyDescent="0.35">
      <c r="A51" s="167"/>
      <c r="B51" s="168"/>
      <c r="C51" s="168"/>
      <c r="D51" s="168"/>
      <c r="E51" s="169"/>
      <c r="F51" s="168"/>
      <c r="G51" s="168"/>
      <c r="H51" s="170"/>
      <c r="I51" s="171"/>
      <c r="J51" s="172"/>
      <c r="K51" s="282">
        <f t="shared" si="15"/>
        <v>0</v>
      </c>
      <c r="L51" s="170"/>
      <c r="M51" s="171"/>
      <c r="N51" s="173"/>
      <c r="O51" s="208">
        <v>6</v>
      </c>
      <c r="P51" s="174"/>
      <c r="Q51" s="175" t="str">
        <f t="shared" si="19"/>
        <v/>
      </c>
      <c r="R51" s="176"/>
      <c r="S51" s="176"/>
      <c r="T51" s="206" t="str">
        <f t="shared" si="16"/>
        <v/>
      </c>
      <c r="U51" s="176"/>
      <c r="V51" s="176"/>
      <c r="W51" s="176"/>
      <c r="X51" s="177" t="str">
        <f t="shared" si="20"/>
        <v/>
      </c>
      <c r="Y51" s="178" t="str">
        <f t="shared" si="1"/>
        <v/>
      </c>
      <c r="Z51" s="206" t="str">
        <f t="shared" si="17"/>
        <v/>
      </c>
      <c r="AA51" s="178" t="str">
        <f t="shared" si="3"/>
        <v/>
      </c>
      <c r="AB51" s="206" t="str">
        <f t="shared" si="21"/>
        <v/>
      </c>
      <c r="AC51" s="179" t="str">
        <f t="shared" si="22"/>
        <v/>
      </c>
      <c r="AD51" s="176"/>
      <c r="AE51" s="209"/>
      <c r="AF51" s="209"/>
      <c r="AG51" s="180"/>
      <c r="AH51" s="180"/>
      <c r="AI51" s="209"/>
      <c r="AJ51" s="209"/>
    </row>
    <row r="52" spans="1:36" ht="151.5" hidden="1" customHeight="1" collapsed="1" x14ac:dyDescent="0.35">
      <c r="A52" s="155"/>
      <c r="B52" s="205"/>
      <c r="C52" s="205"/>
      <c r="D52" s="205"/>
      <c r="E52" s="156"/>
      <c r="F52" s="205"/>
      <c r="G52" s="205"/>
      <c r="H52" s="157" t="str">
        <f>IF(G52&lt;=0,"",IF(G52&lt;=2,"Muy Baja",IF(G52&lt;=24,"Baja",IF(G52&lt;=500,"Media",IF(G52&lt;=5000,"Alta","Muy Alta")))))</f>
        <v/>
      </c>
      <c r="I52" s="158" t="str">
        <f>IF(H52="","",IF(H52="Muy Baja",0.2,IF(H52="Baja",0.4,IF(H52="Media",0.6,IF(H52="Alta",0.8,IF(H52="Muy Alta",1,))))))</f>
        <v/>
      </c>
      <c r="J52" s="159"/>
      <c r="K52" s="282">
        <f>IF(NOT(ISERROR(MATCH(J52,'Tabla Impacto'!$B$221:$B$223,0))),'Tabla Impacto'!$F$223&amp;"Por favor no seleccionar los criterios de impacto(Afectación Económica o presupuestal y Pérdida Reputacional)",J52)</f>
        <v>0</v>
      </c>
      <c r="L52" s="157" t="str">
        <f>IF(OR(K52='Tabla Impacto'!$C$11,K52='Tabla Impacto'!$D$11),"Leve",IF(OR(K52='Tabla Impacto'!$C$12,K52='Tabla Impacto'!$D$12),"Menor",IF(OR(K52='Tabla Impacto'!$C$13,K52='Tabla Impacto'!$D$13),"Moderado",IF(OR(K52='Tabla Impacto'!$C$14,K52='Tabla Impacto'!$D$14),"Mayor",IF(OR(K52='Tabla Impacto'!$C$15,K52='Tabla Impacto'!$D$15),"Catastrófico","")))))</f>
        <v/>
      </c>
      <c r="M52" s="158" t="str">
        <f>IF(L52="","",IF(L52="Leve",0.2,IF(L52="Menor",0.4,IF(L52="Moderado",0.6,IF(L52="Mayor",0.8,IF(L52="Catastrófico",1,))))))</f>
        <v/>
      </c>
      <c r="N52" s="160"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55"/>
      <c r="P52" s="205"/>
      <c r="Q52" s="161" t="str">
        <f>IF(OR(R52="Preventivo",R52="Detectivo"),"Probabilidad",IF(R52="Correctivo","Impacto",""))</f>
        <v/>
      </c>
      <c r="R52" s="162"/>
      <c r="S52" s="162"/>
      <c r="T52" s="158" t="str">
        <f>IF(AND(R52="Preventivo",S52="Automático"),"50%",IF(AND(R52="Preventivo",S52="Manual"),"40%",IF(AND(R52="Detectivo",S52="Automático"),"40%",IF(AND(R52="Detectivo",S52="Manual"),"30%",IF(AND(R52="Correctivo",S52="Automático"),"35%",IF(AND(R52="Correctivo",S52="Manual"),"25%",""))))))</f>
        <v/>
      </c>
      <c r="U52" s="162"/>
      <c r="V52" s="162"/>
      <c r="W52" s="162"/>
      <c r="X52" s="163" t="str">
        <f>IFERROR(IF(Q52="Probabilidad",(I52-(+I52*T52)),IF(Q52="Impacto",I52,"")),"")</f>
        <v/>
      </c>
      <c r="Y52" s="164" t="str">
        <f>IFERROR(IF(X52="","",IF(X52&lt;=0.2,"Muy Baja",IF(X52&lt;=0.4,"Baja",IF(X52&lt;=0.6,"Media",IF(X52&lt;=0.8,"Alta","Muy Alta"))))),"")</f>
        <v/>
      </c>
      <c r="Z52" s="158" t="str">
        <f>+X52</f>
        <v/>
      </c>
      <c r="AA52" s="164" t="str">
        <f>IFERROR(IF(AB52="","",IF(AB52&lt;=0.2,"Leve",IF(AB52&lt;=0.4,"Menor",IF(AB52&lt;=0.6,"Moderado",IF(AB52&lt;=0.8,"Mayor","Catastrófico"))))),"")</f>
        <v/>
      </c>
      <c r="AB52" s="158" t="str">
        <f>IFERROR(IF(Q52="Impacto",(M52-(+M52*T52)),IF(Q52="Probabilidad",M52,"")),"")</f>
        <v/>
      </c>
      <c r="AC52" s="165"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62"/>
      <c r="AE52" s="205"/>
      <c r="AF52" s="205"/>
      <c r="AG52" s="166"/>
      <c r="AH52" s="166"/>
      <c r="AI52" s="205"/>
      <c r="AJ52" s="205"/>
    </row>
    <row r="53" spans="1:36" ht="151.5" hidden="1" customHeight="1" outlineLevel="1" x14ac:dyDescent="0.35">
      <c r="A53" s="167"/>
      <c r="B53" s="168"/>
      <c r="C53" s="168"/>
      <c r="D53" s="168"/>
      <c r="E53" s="169"/>
      <c r="F53" s="168"/>
      <c r="G53" s="168"/>
      <c r="H53" s="170"/>
      <c r="I53" s="171"/>
      <c r="J53" s="172"/>
      <c r="K53" s="282">
        <f>IF(NOT(ISERROR(MATCH(J53,_xlfn.ANCHORARRAY(E64),0))),I66&amp;"Por favor no seleccionar los criterios de impacto",J53)</f>
        <v>0</v>
      </c>
      <c r="L53" s="170"/>
      <c r="M53" s="171"/>
      <c r="N53" s="173"/>
      <c r="O53" s="208">
        <v>2</v>
      </c>
      <c r="P53" s="174"/>
      <c r="Q53" s="175" t="str">
        <f>IF(OR(R53="Preventivo",R53="Detectivo"),"Probabilidad",IF(R53="Correctivo","Impacto",""))</f>
        <v/>
      </c>
      <c r="R53" s="176"/>
      <c r="S53" s="176"/>
      <c r="T53" s="206" t="str">
        <f t="shared" ref="T53:T57" si="23">IF(AND(R53="Preventivo",S53="Automático"),"50%",IF(AND(R53="Preventivo",S53="Manual"),"40%",IF(AND(R53="Detectivo",S53="Automático"),"40%",IF(AND(R53="Detectivo",S53="Manual"),"30%",IF(AND(R53="Correctivo",S53="Automático"),"35%",IF(AND(R53="Correctivo",S53="Manual"),"25%",""))))))</f>
        <v/>
      </c>
      <c r="U53" s="176"/>
      <c r="V53" s="176"/>
      <c r="W53" s="176"/>
      <c r="X53" s="177" t="str">
        <f>IFERROR(IF(AND(Q52="Probabilidad",Q53="Probabilidad"),(Z52-(+Z52*T53)),IF(Q53="Probabilidad",(I52-(+I52*T53)),IF(Q53="Impacto",Z52,""))),"")</f>
        <v/>
      </c>
      <c r="Y53" s="178" t="str">
        <f t="shared" si="1"/>
        <v/>
      </c>
      <c r="Z53" s="206" t="str">
        <f t="shared" ref="Z53:Z57" si="24">+X53</f>
        <v/>
      </c>
      <c r="AA53" s="178" t="str">
        <f t="shared" si="3"/>
        <v/>
      </c>
      <c r="AB53" s="206" t="str">
        <f>IFERROR(IF(AND(Q52="Impacto",Q53="Impacto"),(AB46-(+AB46*T53)),IF(Q53="Impacto",($M$52-(+$M$52*T53)),IF(Q53="Probabilidad",AB46,""))),"")</f>
        <v/>
      </c>
      <c r="AC53" s="179" t="str">
        <f t="shared" ref="AC53:AC54" si="2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76"/>
      <c r="AE53" s="209"/>
      <c r="AF53" s="209"/>
      <c r="AG53" s="180"/>
      <c r="AH53" s="180"/>
      <c r="AI53" s="209"/>
      <c r="AJ53" s="209"/>
    </row>
    <row r="54" spans="1:36" ht="151.5" hidden="1" customHeight="1" outlineLevel="1" x14ac:dyDescent="0.35">
      <c r="A54" s="167"/>
      <c r="B54" s="168"/>
      <c r="C54" s="168"/>
      <c r="D54" s="168"/>
      <c r="E54" s="169"/>
      <c r="F54" s="168"/>
      <c r="G54" s="168"/>
      <c r="H54" s="170"/>
      <c r="I54" s="171"/>
      <c r="J54" s="172"/>
      <c r="K54" s="282">
        <f>IF(NOT(ISERROR(MATCH(J54,_xlfn.ANCHORARRAY(E65),0))),I67&amp;"Por favor no seleccionar los criterios de impacto",J54)</f>
        <v>0</v>
      </c>
      <c r="L54" s="170"/>
      <c r="M54" s="171"/>
      <c r="N54" s="173"/>
      <c r="O54" s="208">
        <v>3</v>
      </c>
      <c r="P54" s="174"/>
      <c r="Q54" s="175" t="str">
        <f>IF(OR(R54="Preventivo",R54="Detectivo"),"Probabilidad",IF(R54="Correctivo","Impacto",""))</f>
        <v/>
      </c>
      <c r="R54" s="176"/>
      <c r="S54" s="176"/>
      <c r="T54" s="206" t="str">
        <f t="shared" si="23"/>
        <v/>
      </c>
      <c r="U54" s="176"/>
      <c r="V54" s="176"/>
      <c r="W54" s="176"/>
      <c r="X54" s="177" t="str">
        <f>IFERROR(IF(AND(Q53="Probabilidad",Q54="Probabilidad"),(Z53-(+Z53*T54)),IF(AND(Q53="Impacto",Q54="Probabilidad"),(Z52-(+Z52*T54)),IF(Q54="Impacto",Z53,""))),"")</f>
        <v/>
      </c>
      <c r="Y54" s="178" t="str">
        <f t="shared" si="1"/>
        <v/>
      </c>
      <c r="Z54" s="206" t="str">
        <f t="shared" si="24"/>
        <v/>
      </c>
      <c r="AA54" s="178" t="str">
        <f t="shared" si="3"/>
        <v/>
      </c>
      <c r="AB54" s="206" t="str">
        <f>IFERROR(IF(AND(Q53="Impacto",Q54="Impacto"),(AB53-(+AB53*T54)),IF(AND(Q53="Probabilidad",Q54="Impacto"),(AB52-(+AB52*T54)),IF(Q54="Probabilidad",AB53,""))),"")</f>
        <v/>
      </c>
      <c r="AC54" s="179" t="str">
        <f t="shared" si="25"/>
        <v/>
      </c>
      <c r="AD54" s="176"/>
      <c r="AE54" s="209"/>
      <c r="AF54" s="209"/>
      <c r="AG54" s="180"/>
      <c r="AH54" s="180"/>
      <c r="AI54" s="209"/>
      <c r="AJ54" s="209"/>
    </row>
    <row r="55" spans="1:36" ht="151.5" hidden="1" customHeight="1" outlineLevel="1" x14ac:dyDescent="0.35">
      <c r="A55" s="167"/>
      <c r="B55" s="168"/>
      <c r="C55" s="168"/>
      <c r="D55" s="168"/>
      <c r="E55" s="169"/>
      <c r="F55" s="168"/>
      <c r="G55" s="168"/>
      <c r="H55" s="170"/>
      <c r="I55" s="171"/>
      <c r="J55" s="172"/>
      <c r="K55" s="282">
        <f>IF(NOT(ISERROR(MATCH(J55,_xlfn.ANCHORARRAY(E66),0))),I68&amp;"Por favor no seleccionar los criterios de impacto",J55)</f>
        <v>0</v>
      </c>
      <c r="L55" s="170"/>
      <c r="M55" s="171"/>
      <c r="N55" s="173"/>
      <c r="O55" s="208">
        <v>4</v>
      </c>
      <c r="P55" s="174"/>
      <c r="Q55" s="175" t="str">
        <f t="shared" ref="Q55:Q57" si="26">IF(OR(R55="Preventivo",R55="Detectivo"),"Probabilidad",IF(R55="Correctivo","Impacto",""))</f>
        <v/>
      </c>
      <c r="R55" s="176"/>
      <c r="S55" s="176"/>
      <c r="T55" s="206" t="str">
        <f t="shared" si="23"/>
        <v/>
      </c>
      <c r="U55" s="176"/>
      <c r="V55" s="176"/>
      <c r="W55" s="176"/>
      <c r="X55" s="177" t="str">
        <f t="shared" ref="X55:X57" si="27">IFERROR(IF(AND(Q54="Probabilidad",Q55="Probabilidad"),(Z54-(+Z54*T55)),IF(AND(Q54="Impacto",Q55="Probabilidad"),(Z53-(+Z53*T55)),IF(Q55="Impacto",Z54,""))),"")</f>
        <v/>
      </c>
      <c r="Y55" s="178" t="str">
        <f t="shared" si="1"/>
        <v/>
      </c>
      <c r="Z55" s="206" t="str">
        <f t="shared" si="24"/>
        <v/>
      </c>
      <c r="AA55" s="178" t="str">
        <f t="shared" si="3"/>
        <v/>
      </c>
      <c r="AB55" s="206" t="str">
        <f t="shared" ref="AB55:AB57" si="28">IFERROR(IF(AND(Q54="Impacto",Q55="Impacto"),(AB54-(+AB54*T55)),IF(AND(Q54="Probabilidad",Q55="Impacto"),(AB53-(+AB53*T55)),IF(Q55="Probabilidad",AB54,""))),"")</f>
        <v/>
      </c>
      <c r="AC55" s="179"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76"/>
      <c r="AE55" s="209"/>
      <c r="AF55" s="209"/>
      <c r="AG55" s="180"/>
      <c r="AH55" s="180"/>
      <c r="AI55" s="209"/>
      <c r="AJ55" s="209"/>
    </row>
    <row r="56" spans="1:36" ht="151.5" hidden="1" customHeight="1" outlineLevel="1" x14ac:dyDescent="0.35">
      <c r="A56" s="167"/>
      <c r="B56" s="168"/>
      <c r="C56" s="168"/>
      <c r="D56" s="168"/>
      <c r="E56" s="169"/>
      <c r="F56" s="168"/>
      <c r="G56" s="168"/>
      <c r="H56" s="170"/>
      <c r="I56" s="171"/>
      <c r="J56" s="172"/>
      <c r="K56" s="282">
        <f>IF(NOT(ISERROR(MATCH(J56,_xlfn.ANCHORARRAY(E67),0))),I69&amp;"Por favor no seleccionar los criterios de impacto",J56)</f>
        <v>0</v>
      </c>
      <c r="L56" s="170"/>
      <c r="M56" s="171"/>
      <c r="N56" s="173"/>
      <c r="O56" s="208">
        <v>5</v>
      </c>
      <c r="P56" s="174"/>
      <c r="Q56" s="175" t="str">
        <f t="shared" si="26"/>
        <v/>
      </c>
      <c r="R56" s="176"/>
      <c r="S56" s="176"/>
      <c r="T56" s="206" t="str">
        <f t="shared" si="23"/>
        <v/>
      </c>
      <c r="U56" s="176"/>
      <c r="V56" s="176"/>
      <c r="W56" s="176"/>
      <c r="X56" s="177" t="str">
        <f t="shared" si="27"/>
        <v/>
      </c>
      <c r="Y56" s="178" t="str">
        <f t="shared" si="1"/>
        <v/>
      </c>
      <c r="Z56" s="206" t="str">
        <f t="shared" si="24"/>
        <v/>
      </c>
      <c r="AA56" s="178" t="str">
        <f t="shared" si="3"/>
        <v/>
      </c>
      <c r="AB56" s="206" t="str">
        <f t="shared" si="28"/>
        <v/>
      </c>
      <c r="AC56" s="179" t="str">
        <f t="shared" ref="AC56:AC57" si="2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76"/>
      <c r="AE56" s="209"/>
      <c r="AF56" s="209"/>
      <c r="AG56" s="180"/>
      <c r="AH56" s="180"/>
      <c r="AI56" s="209"/>
      <c r="AJ56" s="209"/>
    </row>
    <row r="57" spans="1:36" ht="151.5" hidden="1" customHeight="1" outlineLevel="1" x14ac:dyDescent="0.35">
      <c r="A57" s="167"/>
      <c r="B57" s="168"/>
      <c r="C57" s="168"/>
      <c r="D57" s="168"/>
      <c r="E57" s="169"/>
      <c r="F57" s="168"/>
      <c r="G57" s="168"/>
      <c r="H57" s="170"/>
      <c r="I57" s="171"/>
      <c r="J57" s="172"/>
      <c r="K57" s="282">
        <f>IF(NOT(ISERROR(MATCH(J57,_xlfn.ANCHORARRAY(E68),0))),I70&amp;"Por favor no seleccionar los criterios de impacto",J57)</f>
        <v>0</v>
      </c>
      <c r="L57" s="170"/>
      <c r="M57" s="171"/>
      <c r="N57" s="173"/>
      <c r="O57" s="208">
        <v>6</v>
      </c>
      <c r="P57" s="174"/>
      <c r="Q57" s="175" t="str">
        <f t="shared" si="26"/>
        <v/>
      </c>
      <c r="R57" s="176"/>
      <c r="S57" s="176"/>
      <c r="T57" s="206" t="str">
        <f t="shared" si="23"/>
        <v/>
      </c>
      <c r="U57" s="176"/>
      <c r="V57" s="176"/>
      <c r="W57" s="176"/>
      <c r="X57" s="177" t="str">
        <f t="shared" si="27"/>
        <v/>
      </c>
      <c r="Y57" s="178" t="str">
        <f t="shared" si="1"/>
        <v/>
      </c>
      <c r="Z57" s="206" t="str">
        <f t="shared" si="24"/>
        <v/>
      </c>
      <c r="AA57" s="178" t="str">
        <f t="shared" si="3"/>
        <v/>
      </c>
      <c r="AB57" s="206" t="str">
        <f t="shared" si="28"/>
        <v/>
      </c>
      <c r="AC57" s="179" t="str">
        <f t="shared" si="29"/>
        <v/>
      </c>
      <c r="AD57" s="176"/>
      <c r="AE57" s="209"/>
      <c r="AF57" s="209"/>
      <c r="AG57" s="180"/>
      <c r="AH57" s="180"/>
      <c r="AI57" s="209"/>
      <c r="AJ57" s="209"/>
    </row>
    <row r="58" spans="1:36" ht="151.5" hidden="1" customHeight="1" outlineLevel="1" x14ac:dyDescent="0.35">
      <c r="A58" s="284">
        <v>9</v>
      </c>
      <c r="B58" s="285"/>
      <c r="C58" s="285"/>
      <c r="D58" s="285"/>
      <c r="E58" s="286"/>
      <c r="F58" s="285"/>
      <c r="G58" s="285"/>
      <c r="H58" s="287" t="str">
        <f>IF(G58&lt;=0,"",IF(G58&lt;=2,"Muy Baja",IF(G58&lt;=24,"Baja",IF(G58&lt;=500,"Media",IF(G58&lt;=5000,"Alta","Muy Alta")))))</f>
        <v/>
      </c>
      <c r="I58" s="282" t="str">
        <f>IF(H58="","",IF(H58="Muy Baja",0.2,IF(H58="Baja",0.4,IF(H58="Media",0.6,IF(H58="Alta",0.8,IF(H58="Muy Alta",1,))))))</f>
        <v/>
      </c>
      <c r="J58" s="303"/>
      <c r="K58" s="282">
        <f>IF(NOT(ISERROR(MATCH(J58,'Tabla Impacto'!$B$221:$B$223,0))),'Tabla Impacto'!$F$223&amp;"Por favor no seleccionar los criterios de impacto(Afectación Económica o presupuestal y Pérdida Reputacional)",J58)</f>
        <v>0</v>
      </c>
      <c r="L58" s="287" t="str">
        <f>IF(OR(K58='Tabla Impacto'!$C$11,K58='Tabla Impacto'!$D$11),"Leve",IF(OR(K58='Tabla Impacto'!$C$12,K58='Tabla Impacto'!$D$12),"Menor",IF(OR(K58='Tabla Impacto'!$C$13,K58='Tabla Impacto'!$D$13),"Moderado",IF(OR(K58='Tabla Impacto'!$C$14,K58='Tabla Impacto'!$D$14),"Mayor",IF(OR(K58='Tabla Impacto'!$C$15,K58='Tabla Impacto'!$D$15),"Catastrófico","")))))</f>
        <v/>
      </c>
      <c r="M58" s="282" t="str">
        <f>IF(L58="","",IF(L58="Leve",0.2,IF(L58="Menor",0.4,IF(L58="Moderado",0.6,IF(L58="Mayor",0.8,IF(L58="Catastrófico",1,))))))</f>
        <v/>
      </c>
      <c r="N58" s="30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08">
        <v>1</v>
      </c>
      <c r="P58" s="174"/>
      <c r="Q58" s="175" t="str">
        <f>IF(OR(R58="Preventivo",R58="Detectivo"),"Probabilidad",IF(R58="Correctivo","Impacto",""))</f>
        <v/>
      </c>
      <c r="R58" s="176"/>
      <c r="S58" s="176"/>
      <c r="T58" s="206" t="str">
        <f>IF(AND(R58="Preventivo",S58="Automático"),"50%",IF(AND(R58="Preventivo",S58="Manual"),"40%",IF(AND(R58="Detectivo",S58="Automático"),"40%",IF(AND(R58="Detectivo",S58="Manual"),"30%",IF(AND(R58="Correctivo",S58="Automático"),"35%",IF(AND(R58="Correctivo",S58="Manual"),"25%",""))))))</f>
        <v/>
      </c>
      <c r="U58" s="176"/>
      <c r="V58" s="176"/>
      <c r="W58" s="176"/>
      <c r="X58" s="177" t="str">
        <f>IFERROR(IF(Q58="Probabilidad",(I58-(+I58*T58)),IF(Q58="Impacto",I58,"")),"")</f>
        <v/>
      </c>
      <c r="Y58" s="178" t="str">
        <f>IFERROR(IF(X58="","",IF(X58&lt;=0.2,"Muy Baja",IF(X58&lt;=0.4,"Baja",IF(X58&lt;=0.6,"Media",IF(X58&lt;=0.8,"Alta","Muy Alta"))))),"")</f>
        <v/>
      </c>
      <c r="Z58" s="206" t="str">
        <f>+X58</f>
        <v/>
      </c>
      <c r="AA58" s="178" t="str">
        <f>IFERROR(IF(AB58="","",IF(AB58&lt;=0.2,"Leve",IF(AB58&lt;=0.4,"Menor",IF(AB58&lt;=0.6,"Moderado",IF(AB58&lt;=0.8,"Mayor","Catastrófico"))))),"")</f>
        <v/>
      </c>
      <c r="AB58" s="206" t="str">
        <f>IFERROR(IF(Q58="Impacto",(M58-(+M58*T58)),IF(Q58="Probabilidad",M58,"")),"")</f>
        <v/>
      </c>
      <c r="AC58" s="1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76"/>
      <c r="AE58" s="209"/>
      <c r="AF58" s="209"/>
      <c r="AG58" s="180"/>
      <c r="AH58" s="180"/>
      <c r="AI58" s="209"/>
      <c r="AJ58" s="209"/>
    </row>
    <row r="59" spans="1:36" ht="151.5" hidden="1" customHeight="1" outlineLevel="1" x14ac:dyDescent="0.35">
      <c r="A59" s="284"/>
      <c r="B59" s="285"/>
      <c r="C59" s="285"/>
      <c r="D59" s="285"/>
      <c r="E59" s="286"/>
      <c r="F59" s="285"/>
      <c r="G59" s="285"/>
      <c r="H59" s="287"/>
      <c r="I59" s="282"/>
      <c r="J59" s="303"/>
      <c r="K59" s="282">
        <f>IF(NOT(ISERROR(MATCH(J59,_xlfn.ANCHORARRAY(E70),0))),I71&amp;"Por favor no seleccionar los criterios de impacto",J59)</f>
        <v>0</v>
      </c>
      <c r="L59" s="287"/>
      <c r="M59" s="282"/>
      <c r="N59" s="302"/>
      <c r="O59" s="208">
        <v>2</v>
      </c>
      <c r="P59" s="174"/>
      <c r="Q59" s="175" t="str">
        <f>IF(OR(R59="Preventivo",R59="Detectivo"),"Probabilidad",IF(R59="Correctivo","Impacto",""))</f>
        <v/>
      </c>
      <c r="R59" s="176"/>
      <c r="S59" s="176"/>
      <c r="T59" s="206" t="str">
        <f t="shared" ref="T59:T63" si="30">IF(AND(R59="Preventivo",S59="Automático"),"50%",IF(AND(R59="Preventivo",S59="Manual"),"40%",IF(AND(R59="Detectivo",S59="Automático"),"40%",IF(AND(R59="Detectivo",S59="Manual"),"30%",IF(AND(R59="Correctivo",S59="Automático"),"35%",IF(AND(R59="Correctivo",S59="Manual"),"25%",""))))))</f>
        <v/>
      </c>
      <c r="U59" s="176"/>
      <c r="V59" s="176"/>
      <c r="W59" s="176"/>
      <c r="X59" s="177" t="str">
        <f>IFERROR(IF(AND(Q58="Probabilidad",Q59="Probabilidad"),(Z58-(+Z58*T59)),IF(Q59="Probabilidad",(I58-(+I58*T59)),IF(Q59="Impacto",Z58,""))),"")</f>
        <v/>
      </c>
      <c r="Y59" s="178" t="str">
        <f t="shared" si="1"/>
        <v/>
      </c>
      <c r="Z59" s="206" t="str">
        <f t="shared" ref="Z59:Z63" si="31">+X59</f>
        <v/>
      </c>
      <c r="AA59" s="178" t="str">
        <f t="shared" si="3"/>
        <v/>
      </c>
      <c r="AB59" s="206" t="str">
        <f>IFERROR(IF(AND(Q58="Impacto",Q59="Impacto"),(AB52-(+AB52*T59)),IF(Q59="Impacto",($M$58-(+$M$58*T59)),IF(Q59="Probabilidad",AB52,""))),"")</f>
        <v/>
      </c>
      <c r="AC59" s="179" t="str">
        <f t="shared" ref="AC59:AC60" si="32">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76"/>
      <c r="AE59" s="209"/>
      <c r="AF59" s="209"/>
      <c r="AG59" s="180"/>
      <c r="AH59" s="180"/>
      <c r="AI59" s="209"/>
      <c r="AJ59" s="209"/>
    </row>
    <row r="60" spans="1:36" ht="151.5" hidden="1" customHeight="1" outlineLevel="1" x14ac:dyDescent="0.35">
      <c r="A60" s="284"/>
      <c r="B60" s="285"/>
      <c r="C60" s="285"/>
      <c r="D60" s="285"/>
      <c r="E60" s="286"/>
      <c r="F60" s="285"/>
      <c r="G60" s="285"/>
      <c r="H60" s="287"/>
      <c r="I60" s="282"/>
      <c r="J60" s="303"/>
      <c r="K60" s="282">
        <f>IF(NOT(ISERROR(MATCH(J60,_xlfn.ANCHORARRAY(#REF!),0))),I76&amp;"Por favor no seleccionar los criterios de impacto",J60)</f>
        <v>0</v>
      </c>
      <c r="L60" s="287"/>
      <c r="M60" s="282"/>
      <c r="N60" s="302"/>
      <c r="O60" s="208">
        <v>3</v>
      </c>
      <c r="P60" s="174"/>
      <c r="Q60" s="175" t="str">
        <f>IF(OR(R60="Preventivo",R60="Detectivo"),"Probabilidad",IF(R60="Correctivo","Impacto",""))</f>
        <v/>
      </c>
      <c r="R60" s="176"/>
      <c r="S60" s="176"/>
      <c r="T60" s="206" t="str">
        <f t="shared" si="30"/>
        <v/>
      </c>
      <c r="U60" s="176"/>
      <c r="V60" s="176"/>
      <c r="W60" s="176"/>
      <c r="X60" s="177" t="str">
        <f>IFERROR(IF(AND(Q59="Probabilidad",Q60="Probabilidad"),(Z59-(+Z59*T60)),IF(AND(Q59="Impacto",Q60="Probabilidad"),(Z58-(+Z58*T60)),IF(Q60="Impacto",Z59,""))),"")</f>
        <v/>
      </c>
      <c r="Y60" s="178" t="str">
        <f t="shared" si="1"/>
        <v/>
      </c>
      <c r="Z60" s="206" t="str">
        <f t="shared" si="31"/>
        <v/>
      </c>
      <c r="AA60" s="178" t="str">
        <f t="shared" si="3"/>
        <v/>
      </c>
      <c r="AB60" s="206" t="str">
        <f>IFERROR(IF(AND(Q59="Impacto",Q60="Impacto"),(AB59-(+AB59*T60)),IF(AND(Q59="Probabilidad",Q60="Impacto"),(AB58-(+AB58*T60)),IF(Q60="Probabilidad",AB59,""))),"")</f>
        <v/>
      </c>
      <c r="AC60" s="179" t="str">
        <f t="shared" si="32"/>
        <v/>
      </c>
      <c r="AD60" s="176"/>
      <c r="AE60" s="209"/>
      <c r="AF60" s="209"/>
      <c r="AG60" s="180"/>
      <c r="AH60" s="180"/>
      <c r="AI60" s="209"/>
      <c r="AJ60" s="209"/>
    </row>
    <row r="61" spans="1:36" ht="151.5" hidden="1" customHeight="1" outlineLevel="1" x14ac:dyDescent="0.35">
      <c r="A61" s="284"/>
      <c r="B61" s="285"/>
      <c r="C61" s="285"/>
      <c r="D61" s="285"/>
      <c r="E61" s="286"/>
      <c r="F61" s="285"/>
      <c r="G61" s="285"/>
      <c r="H61" s="287"/>
      <c r="I61" s="282"/>
      <c r="J61" s="303"/>
      <c r="K61" s="282">
        <f>IF(NOT(ISERROR(MATCH(J61,_xlfn.ANCHORARRAY(E71),0))),I77&amp;"Por favor no seleccionar los criterios de impacto",J61)</f>
        <v>0</v>
      </c>
      <c r="L61" s="287"/>
      <c r="M61" s="282"/>
      <c r="N61" s="302"/>
      <c r="O61" s="208">
        <v>4</v>
      </c>
      <c r="P61" s="174"/>
      <c r="Q61" s="175" t="str">
        <f t="shared" ref="Q61:Q63" si="33">IF(OR(R61="Preventivo",R61="Detectivo"),"Probabilidad",IF(R61="Correctivo","Impacto",""))</f>
        <v/>
      </c>
      <c r="R61" s="176"/>
      <c r="S61" s="176"/>
      <c r="T61" s="206" t="str">
        <f t="shared" si="30"/>
        <v/>
      </c>
      <c r="U61" s="176"/>
      <c r="V61" s="176"/>
      <c r="W61" s="176"/>
      <c r="X61" s="177" t="str">
        <f t="shared" ref="X61:X63" si="34">IFERROR(IF(AND(Q60="Probabilidad",Q61="Probabilidad"),(Z60-(+Z60*T61)),IF(AND(Q60="Impacto",Q61="Probabilidad"),(Z59-(+Z59*T61)),IF(Q61="Impacto",Z60,""))),"")</f>
        <v/>
      </c>
      <c r="Y61" s="178" t="str">
        <f t="shared" si="1"/>
        <v/>
      </c>
      <c r="Z61" s="206" t="str">
        <f t="shared" si="31"/>
        <v/>
      </c>
      <c r="AA61" s="178" t="str">
        <f t="shared" si="3"/>
        <v/>
      </c>
      <c r="AB61" s="206" t="str">
        <f t="shared" ref="AB61:AB63" si="35">IFERROR(IF(AND(Q60="Impacto",Q61="Impacto"),(AB60-(+AB60*T61)),IF(AND(Q60="Probabilidad",Q61="Impacto"),(AB59-(+AB59*T61)),IF(Q61="Probabilidad",AB60,""))),"")</f>
        <v/>
      </c>
      <c r="AC61" s="179"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76"/>
      <c r="AE61" s="209"/>
      <c r="AF61" s="209"/>
      <c r="AG61" s="180"/>
      <c r="AH61" s="180"/>
      <c r="AI61" s="209"/>
      <c r="AJ61" s="209"/>
    </row>
    <row r="62" spans="1:36" ht="151.5" hidden="1" customHeight="1" outlineLevel="1" x14ac:dyDescent="0.35">
      <c r="A62" s="284"/>
      <c r="B62" s="285"/>
      <c r="C62" s="285"/>
      <c r="D62" s="285"/>
      <c r="E62" s="286"/>
      <c r="F62" s="285"/>
      <c r="G62" s="285"/>
      <c r="H62" s="287"/>
      <c r="I62" s="282"/>
      <c r="J62" s="303"/>
      <c r="K62" s="282">
        <f>IF(NOT(ISERROR(MATCH(J62,_xlfn.ANCHORARRAY(E76),0))),#REF!&amp;"Por favor no seleccionar los criterios de impacto",J62)</f>
        <v>0</v>
      </c>
      <c r="L62" s="287"/>
      <c r="M62" s="282"/>
      <c r="N62" s="302"/>
      <c r="O62" s="208">
        <v>5</v>
      </c>
      <c r="P62" s="174"/>
      <c r="Q62" s="175" t="str">
        <f t="shared" si="33"/>
        <v/>
      </c>
      <c r="R62" s="176"/>
      <c r="S62" s="176"/>
      <c r="T62" s="206" t="str">
        <f t="shared" si="30"/>
        <v/>
      </c>
      <c r="U62" s="176"/>
      <c r="V62" s="176"/>
      <c r="W62" s="176"/>
      <c r="X62" s="177" t="str">
        <f t="shared" si="34"/>
        <v/>
      </c>
      <c r="Y62" s="178" t="str">
        <f t="shared" si="1"/>
        <v/>
      </c>
      <c r="Z62" s="206" t="str">
        <f t="shared" si="31"/>
        <v/>
      </c>
      <c r="AA62" s="178" t="str">
        <f t="shared" si="3"/>
        <v/>
      </c>
      <c r="AB62" s="206" t="str">
        <f t="shared" si="35"/>
        <v/>
      </c>
      <c r="AC62" s="179" t="str">
        <f t="shared" ref="AC62:AC63" si="36">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76"/>
      <c r="AE62" s="209"/>
      <c r="AF62" s="209"/>
      <c r="AG62" s="180"/>
      <c r="AH62" s="180"/>
      <c r="AI62" s="209"/>
      <c r="AJ62" s="209"/>
    </row>
    <row r="63" spans="1:36" ht="151.5" hidden="1" customHeight="1" outlineLevel="1" x14ac:dyDescent="0.35">
      <c r="A63" s="284"/>
      <c r="B63" s="285"/>
      <c r="C63" s="285"/>
      <c r="D63" s="285"/>
      <c r="E63" s="286"/>
      <c r="F63" s="285"/>
      <c r="G63" s="285"/>
      <c r="H63" s="287"/>
      <c r="I63" s="282"/>
      <c r="J63" s="303"/>
      <c r="K63" s="282">
        <f>IF(NOT(ISERROR(MATCH(J63,_xlfn.ANCHORARRAY(F77),0))),#REF!&amp;"Por favor no seleccionar los criterios de impacto",J63)</f>
        <v>0</v>
      </c>
      <c r="L63" s="287"/>
      <c r="M63" s="282"/>
      <c r="N63" s="302"/>
      <c r="O63" s="208">
        <v>6</v>
      </c>
      <c r="P63" s="174"/>
      <c r="Q63" s="175" t="str">
        <f t="shared" si="33"/>
        <v/>
      </c>
      <c r="R63" s="176"/>
      <c r="S63" s="176"/>
      <c r="T63" s="206" t="str">
        <f t="shared" si="30"/>
        <v/>
      </c>
      <c r="U63" s="176"/>
      <c r="V63" s="176"/>
      <c r="W63" s="176"/>
      <c r="X63" s="177" t="str">
        <f t="shared" si="34"/>
        <v/>
      </c>
      <c r="Y63" s="178" t="str">
        <f t="shared" si="1"/>
        <v/>
      </c>
      <c r="Z63" s="206" t="str">
        <f t="shared" si="31"/>
        <v/>
      </c>
      <c r="AA63" s="178" t="str">
        <f t="shared" si="3"/>
        <v/>
      </c>
      <c r="AB63" s="206" t="str">
        <f t="shared" si="35"/>
        <v/>
      </c>
      <c r="AC63" s="179" t="str">
        <f t="shared" si="36"/>
        <v/>
      </c>
      <c r="AD63" s="176"/>
      <c r="AE63" s="209"/>
      <c r="AF63" s="209"/>
      <c r="AG63" s="180"/>
      <c r="AH63" s="180"/>
      <c r="AI63" s="209"/>
      <c r="AJ63" s="209"/>
    </row>
    <row r="64" spans="1:36" ht="151.5" hidden="1" customHeight="1" outlineLevel="1" x14ac:dyDescent="0.35">
      <c r="A64" s="284">
        <v>10</v>
      </c>
      <c r="B64" s="285"/>
      <c r="C64" s="285"/>
      <c r="D64" s="285"/>
      <c r="E64" s="286"/>
      <c r="F64" s="285"/>
      <c r="G64" s="285"/>
      <c r="H64" s="287" t="str">
        <f>IF(G64&lt;=0,"",IF(G64&lt;=2,"Muy Baja",IF(G64&lt;=24,"Baja",IF(G64&lt;=500,"Media",IF(G64&lt;=5000,"Alta","Muy Alta")))))</f>
        <v/>
      </c>
      <c r="I64" s="282" t="str">
        <f>IF(H64="","",IF(H64="Muy Baja",0.2,IF(H64="Baja",0.4,IF(H64="Media",0.6,IF(H64="Alta",0.8,IF(H64="Muy Alta",1,))))))</f>
        <v/>
      </c>
      <c r="J64" s="303"/>
      <c r="K64" s="282">
        <f>IF(NOT(ISERROR(MATCH(J64,'Tabla Impacto'!$B$221:$B$223,0))),'Tabla Impacto'!$F$223&amp;"Por favor no seleccionar los criterios de impacto(Afectación Económica o presupuestal y Pérdida Reputacional)",J64)</f>
        <v>0</v>
      </c>
      <c r="L64" s="287" t="str">
        <f>IF(OR(K64='Tabla Impacto'!$C$11,K64='Tabla Impacto'!$D$11),"Leve",IF(OR(K64='Tabla Impacto'!$C$12,K64='Tabla Impacto'!$D$12),"Menor",IF(OR(K64='Tabla Impacto'!$C$13,K64='Tabla Impacto'!$D$13),"Moderado",IF(OR(K64='Tabla Impacto'!$C$14,K64='Tabla Impacto'!$D$14),"Mayor",IF(OR(K64='Tabla Impacto'!$C$15,K64='Tabla Impacto'!$D$15),"Catastrófico","")))))</f>
        <v/>
      </c>
      <c r="M64" s="282" t="str">
        <f>IF(L64="","",IF(L64="Leve",0.2,IF(L64="Menor",0.4,IF(L64="Moderado",0.6,IF(L64="Mayor",0.8,IF(L64="Catastrófico",1,))))))</f>
        <v/>
      </c>
      <c r="N64" s="30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08">
        <v>1</v>
      </c>
      <c r="P64" s="174"/>
      <c r="Q64" s="175" t="str">
        <f>IF(OR(R64="Preventivo",R64="Detectivo"),"Probabilidad",IF(R64="Correctivo","Impacto",""))</f>
        <v/>
      </c>
      <c r="R64" s="176"/>
      <c r="S64" s="176"/>
      <c r="T64" s="206" t="str">
        <f>IF(AND(R64="Preventivo",S64="Automático"),"50%",IF(AND(R64="Preventivo",S64="Manual"),"40%",IF(AND(R64="Detectivo",S64="Automático"),"40%",IF(AND(R64="Detectivo",S64="Manual"),"30%",IF(AND(R64="Correctivo",S64="Automático"),"35%",IF(AND(R64="Correctivo",S64="Manual"),"25%",""))))))</f>
        <v/>
      </c>
      <c r="U64" s="176"/>
      <c r="V64" s="176"/>
      <c r="W64" s="176"/>
      <c r="X64" s="177" t="str">
        <f>IFERROR(IF(Q64="Probabilidad",(I64-(+I64*T64)),IF(Q64="Impacto",I64,"")),"")</f>
        <v/>
      </c>
      <c r="Y64" s="178" t="str">
        <f>IFERROR(IF(X64="","",IF(X64&lt;=0.2,"Muy Baja",IF(X64&lt;=0.4,"Baja",IF(X64&lt;=0.6,"Media",IF(X64&lt;=0.8,"Alta","Muy Alta"))))),"")</f>
        <v/>
      </c>
      <c r="Z64" s="206" t="str">
        <f>+X64</f>
        <v/>
      </c>
      <c r="AA64" s="178" t="str">
        <f>IFERROR(IF(AB64="","",IF(AB64&lt;=0.2,"Leve",IF(AB64&lt;=0.4,"Menor",IF(AB64&lt;=0.6,"Moderado",IF(AB64&lt;=0.8,"Mayor","Catastrófico"))))),"")</f>
        <v/>
      </c>
      <c r="AB64" s="206" t="str">
        <f>IFERROR(IF(Q64="Impacto",(M64-(+M64*T64)),IF(Q64="Probabilidad",M64,"")),"")</f>
        <v/>
      </c>
      <c r="AC64" s="1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76"/>
      <c r="AE64" s="209"/>
      <c r="AF64" s="209"/>
      <c r="AG64" s="180"/>
      <c r="AH64" s="180"/>
      <c r="AI64" s="209"/>
      <c r="AJ64" s="209"/>
    </row>
    <row r="65" spans="1:36" ht="151.5" hidden="1" customHeight="1" outlineLevel="1" x14ac:dyDescent="0.35">
      <c r="A65" s="284"/>
      <c r="B65" s="285"/>
      <c r="C65" s="285"/>
      <c r="D65" s="285"/>
      <c r="E65" s="286"/>
      <c r="F65" s="285"/>
      <c r="G65" s="285"/>
      <c r="H65" s="287"/>
      <c r="I65" s="282"/>
      <c r="J65" s="303"/>
      <c r="K65" s="282">
        <f>IF(NOT(ISERROR(MATCH(J65,_xlfn.ANCHORARRAY(#REF!),0))),#REF!&amp;"Por favor no seleccionar los criterios de impacto",J65)</f>
        <v>0</v>
      </c>
      <c r="L65" s="287"/>
      <c r="M65" s="282"/>
      <c r="N65" s="302"/>
      <c r="O65" s="208">
        <v>2</v>
      </c>
      <c r="P65" s="174"/>
      <c r="Q65" s="175" t="str">
        <f>IF(OR(R65="Preventivo",R65="Detectivo"),"Probabilidad",IF(R65="Correctivo","Impacto",""))</f>
        <v/>
      </c>
      <c r="R65" s="176"/>
      <c r="S65" s="176"/>
      <c r="T65" s="206" t="str">
        <f t="shared" ref="T65:T69" si="37">IF(AND(R65="Preventivo",S65="Automático"),"50%",IF(AND(R65="Preventivo",S65="Manual"),"40%",IF(AND(R65="Detectivo",S65="Automático"),"40%",IF(AND(R65="Detectivo",S65="Manual"),"30%",IF(AND(R65="Correctivo",S65="Automático"),"35%",IF(AND(R65="Correctivo",S65="Manual"),"25%",""))))))</f>
        <v/>
      </c>
      <c r="U65" s="176"/>
      <c r="V65" s="176"/>
      <c r="W65" s="176"/>
      <c r="X65" s="177" t="str">
        <f>IFERROR(IF(AND(Q64="Probabilidad",Q65="Probabilidad"),(Z64-(+Z64*T65)),IF(Q65="Probabilidad",(I64-(+I64*T65)),IF(Q65="Impacto",Z64,""))),"")</f>
        <v/>
      </c>
      <c r="Y65" s="178" t="str">
        <f t="shared" si="1"/>
        <v/>
      </c>
      <c r="Z65" s="206" t="str">
        <f t="shared" ref="Z65:Z69" si="38">+X65</f>
        <v/>
      </c>
      <c r="AA65" s="178" t="str">
        <f t="shared" si="3"/>
        <v/>
      </c>
      <c r="AB65" s="206" t="str">
        <f>IFERROR(IF(AND(Q64="Impacto",Q65="Impacto"),(AB58-(+AB58*T65)),IF(Q65="Impacto",($M$64-(+$M$64*T65)),IF(Q65="Probabilidad",AB58,""))),"")</f>
        <v/>
      </c>
      <c r="AC65" s="179" t="str">
        <f t="shared" ref="AC65:AC66" si="3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76"/>
      <c r="AE65" s="209"/>
      <c r="AF65" s="209"/>
      <c r="AG65" s="180"/>
      <c r="AH65" s="180"/>
      <c r="AI65" s="209"/>
      <c r="AJ65" s="209"/>
    </row>
    <row r="66" spans="1:36" ht="151.5" hidden="1" customHeight="1" outlineLevel="1" x14ac:dyDescent="0.35">
      <c r="A66" s="284"/>
      <c r="B66" s="285"/>
      <c r="C66" s="285"/>
      <c r="D66" s="285"/>
      <c r="E66" s="286"/>
      <c r="F66" s="285"/>
      <c r="G66" s="285"/>
      <c r="H66" s="287"/>
      <c r="I66" s="282"/>
      <c r="J66" s="303"/>
      <c r="K66" s="282">
        <f>IF(NOT(ISERROR(MATCH(J66,_xlfn.ANCHORARRAY(#REF!),0))),#REF!&amp;"Por favor no seleccionar los criterios de impacto",J66)</f>
        <v>0</v>
      </c>
      <c r="L66" s="287"/>
      <c r="M66" s="282"/>
      <c r="N66" s="302"/>
      <c r="O66" s="208">
        <v>3</v>
      </c>
      <c r="P66" s="174"/>
      <c r="Q66" s="175" t="str">
        <f>IF(OR(R66="Preventivo",R66="Detectivo"),"Probabilidad",IF(R66="Correctivo","Impacto",""))</f>
        <v/>
      </c>
      <c r="R66" s="176"/>
      <c r="S66" s="176"/>
      <c r="T66" s="206" t="str">
        <f t="shared" si="37"/>
        <v/>
      </c>
      <c r="U66" s="176"/>
      <c r="V66" s="176"/>
      <c r="W66" s="176"/>
      <c r="X66" s="177" t="str">
        <f>IFERROR(IF(AND(Q65="Probabilidad",Q66="Probabilidad"),(Z65-(+Z65*T66)),IF(AND(Q65="Impacto",Q66="Probabilidad"),(Z64-(+Z64*T66)),IF(Q66="Impacto",Z65,""))),"")</f>
        <v/>
      </c>
      <c r="Y66" s="178" t="str">
        <f t="shared" si="1"/>
        <v/>
      </c>
      <c r="Z66" s="206" t="str">
        <f t="shared" si="38"/>
        <v/>
      </c>
      <c r="AA66" s="178" t="str">
        <f t="shared" si="3"/>
        <v/>
      </c>
      <c r="AB66" s="206" t="str">
        <f>IFERROR(IF(AND(Q65="Impacto",Q66="Impacto"),(AB65-(+AB65*T66)),IF(AND(Q65="Probabilidad",Q66="Impacto"),(AB64-(+AB64*T66)),IF(Q66="Probabilidad",AB65,""))),"")</f>
        <v/>
      </c>
      <c r="AC66" s="179" t="str">
        <f t="shared" si="39"/>
        <v/>
      </c>
      <c r="AD66" s="176"/>
      <c r="AE66" s="209"/>
      <c r="AF66" s="209"/>
      <c r="AG66" s="180"/>
      <c r="AH66" s="180"/>
      <c r="AI66" s="209"/>
      <c r="AJ66" s="209"/>
    </row>
    <row r="67" spans="1:36" ht="151.5" hidden="1" customHeight="1" outlineLevel="1" x14ac:dyDescent="0.35">
      <c r="A67" s="284"/>
      <c r="B67" s="285"/>
      <c r="C67" s="285"/>
      <c r="D67" s="285"/>
      <c r="E67" s="286"/>
      <c r="F67" s="285"/>
      <c r="G67" s="285"/>
      <c r="H67" s="287"/>
      <c r="I67" s="282"/>
      <c r="J67" s="303"/>
      <c r="K67" s="282">
        <f>IF(NOT(ISERROR(MATCH(J67,_xlfn.ANCHORARRAY(#REF!),0))),#REF!&amp;"Por favor no seleccionar los criterios de impacto",J67)</f>
        <v>0</v>
      </c>
      <c r="L67" s="287"/>
      <c r="M67" s="282"/>
      <c r="N67" s="302"/>
      <c r="O67" s="208">
        <v>4</v>
      </c>
      <c r="P67" s="174"/>
      <c r="Q67" s="175" t="str">
        <f t="shared" ref="Q67:Q69" si="40">IF(OR(R67="Preventivo",R67="Detectivo"),"Probabilidad",IF(R67="Correctivo","Impacto",""))</f>
        <v/>
      </c>
      <c r="R67" s="176"/>
      <c r="S67" s="176"/>
      <c r="T67" s="206" t="str">
        <f t="shared" si="37"/>
        <v/>
      </c>
      <c r="U67" s="176"/>
      <c r="V67" s="176"/>
      <c r="W67" s="176"/>
      <c r="X67" s="177" t="str">
        <f t="shared" ref="X67:X69" si="41">IFERROR(IF(AND(Q66="Probabilidad",Q67="Probabilidad"),(Z66-(+Z66*T67)),IF(AND(Q66="Impacto",Q67="Probabilidad"),(Z65-(+Z65*T67)),IF(Q67="Impacto",Z66,""))),"")</f>
        <v/>
      </c>
      <c r="Y67" s="178" t="str">
        <f t="shared" si="1"/>
        <v/>
      </c>
      <c r="Z67" s="206" t="str">
        <f t="shared" si="38"/>
        <v/>
      </c>
      <c r="AA67" s="178" t="str">
        <f t="shared" si="3"/>
        <v/>
      </c>
      <c r="AB67" s="206" t="str">
        <f t="shared" ref="AB67:AB69" si="42">IFERROR(IF(AND(Q66="Impacto",Q67="Impacto"),(AB66-(+AB66*T67)),IF(AND(Q66="Probabilidad",Q67="Impacto"),(AB65-(+AB65*T67)),IF(Q67="Probabilidad",AB66,""))),"")</f>
        <v/>
      </c>
      <c r="AC67" s="179"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76"/>
      <c r="AE67" s="209"/>
      <c r="AF67" s="209"/>
      <c r="AG67" s="180"/>
      <c r="AH67" s="180"/>
      <c r="AI67" s="209"/>
      <c r="AJ67" s="209"/>
    </row>
    <row r="68" spans="1:36" ht="29.25" hidden="1" customHeight="1" outlineLevel="1" x14ac:dyDescent="0.35">
      <c r="A68" s="284"/>
      <c r="B68" s="285"/>
      <c r="C68" s="285"/>
      <c r="D68" s="285"/>
      <c r="E68" s="286"/>
      <c r="F68" s="285"/>
      <c r="G68" s="285"/>
      <c r="H68" s="287"/>
      <c r="I68" s="282"/>
      <c r="J68" s="303"/>
      <c r="K68" s="282">
        <f>IF(NOT(ISERROR(MATCH(J68,_xlfn.ANCHORARRAY(#REF!),0))),#REF!&amp;"Por favor no seleccionar los criterios de impacto",J68)</f>
        <v>0</v>
      </c>
      <c r="L68" s="287"/>
      <c r="M68" s="282"/>
      <c r="N68" s="302"/>
      <c r="O68" s="208">
        <v>5</v>
      </c>
      <c r="P68" s="174"/>
      <c r="Q68" s="175" t="str">
        <f t="shared" si="40"/>
        <v/>
      </c>
      <c r="R68" s="176"/>
      <c r="S68" s="176"/>
      <c r="T68" s="206" t="str">
        <f t="shared" si="37"/>
        <v/>
      </c>
      <c r="U68" s="176"/>
      <c r="V68" s="176"/>
      <c r="W68" s="176"/>
      <c r="X68" s="177" t="str">
        <f t="shared" si="41"/>
        <v/>
      </c>
      <c r="Y68" s="178" t="str">
        <f t="shared" si="1"/>
        <v/>
      </c>
      <c r="Z68" s="206" t="str">
        <f t="shared" si="38"/>
        <v/>
      </c>
      <c r="AA68" s="178" t="str">
        <f t="shared" si="3"/>
        <v/>
      </c>
      <c r="AB68" s="206" t="str">
        <f t="shared" si="42"/>
        <v/>
      </c>
      <c r="AC68" s="179" t="str">
        <f t="shared" ref="AC68:AC69" si="43">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76"/>
      <c r="AE68" s="209"/>
      <c r="AF68" s="209"/>
      <c r="AG68" s="180"/>
      <c r="AH68" s="180"/>
      <c r="AI68" s="209"/>
      <c r="AJ68" s="209"/>
    </row>
    <row r="69" spans="1:36" ht="3.75" hidden="1" customHeight="1" outlineLevel="1" x14ac:dyDescent="0.35">
      <c r="A69" s="284"/>
      <c r="B69" s="285"/>
      <c r="C69" s="285"/>
      <c r="D69" s="285"/>
      <c r="E69" s="286"/>
      <c r="F69" s="285"/>
      <c r="G69" s="285"/>
      <c r="H69" s="287"/>
      <c r="I69" s="282"/>
      <c r="J69" s="303"/>
      <c r="K69" s="282">
        <f>IF(NOT(ISERROR(MATCH(J69,_xlfn.ANCHORARRAY(#REF!),0))),#REF!&amp;"Por favor no seleccionar los criterios de impacto",J69)</f>
        <v>0</v>
      </c>
      <c r="L69" s="287"/>
      <c r="M69" s="282"/>
      <c r="N69" s="302"/>
      <c r="O69" s="181">
        <v>6</v>
      </c>
      <c r="P69" s="182"/>
      <c r="Q69" s="183" t="str">
        <f t="shared" si="40"/>
        <v/>
      </c>
      <c r="R69" s="184"/>
      <c r="S69" s="184"/>
      <c r="T69" s="185" t="str">
        <f t="shared" si="37"/>
        <v/>
      </c>
      <c r="U69" s="184"/>
      <c r="V69" s="184"/>
      <c r="W69" s="184"/>
      <c r="X69" s="186" t="str">
        <f t="shared" si="41"/>
        <v/>
      </c>
      <c r="Y69" s="187" t="str">
        <f t="shared" si="1"/>
        <v/>
      </c>
      <c r="Z69" s="185" t="str">
        <f t="shared" si="38"/>
        <v/>
      </c>
      <c r="AA69" s="187" t="str">
        <f t="shared" si="3"/>
        <v/>
      </c>
      <c r="AB69" s="185" t="str">
        <f t="shared" si="42"/>
        <v/>
      </c>
      <c r="AC69" s="188" t="str">
        <f t="shared" si="43"/>
        <v/>
      </c>
      <c r="AD69" s="184"/>
      <c r="AE69" s="189"/>
      <c r="AF69" s="189"/>
      <c r="AG69" s="190"/>
      <c r="AH69" s="190"/>
      <c r="AI69" s="189"/>
      <c r="AJ69" s="189"/>
    </row>
    <row r="70" spans="1:36" s="192" customFormat="1" ht="54" customHeight="1" collapsed="1" x14ac:dyDescent="0.35">
      <c r="A70" s="191"/>
      <c r="B70" s="305" t="s">
        <v>220</v>
      </c>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row>
    <row r="71" spans="1:36" s="192" customFormat="1" x14ac:dyDescent="0.35">
      <c r="B71" s="193" t="s">
        <v>142</v>
      </c>
    </row>
    <row r="72" spans="1:36" s="192" customFormat="1" x14ac:dyDescent="0.35">
      <c r="B72" s="194"/>
    </row>
    <row r="73" spans="1:36" s="192" customFormat="1" x14ac:dyDescent="0.35">
      <c r="B73" s="194"/>
    </row>
    <row r="74" spans="1:36" s="192" customFormat="1" x14ac:dyDescent="0.35">
      <c r="B74" s="194"/>
    </row>
    <row r="75" spans="1:36" s="192" customFormat="1" x14ac:dyDescent="0.35">
      <c r="B75" s="194"/>
    </row>
    <row r="76" spans="1:36" s="192" customFormat="1" x14ac:dyDescent="0.35">
      <c r="A76" s="191"/>
      <c r="B76" s="191"/>
      <c r="C76" s="191"/>
      <c r="D76" s="191"/>
      <c r="F76" s="195"/>
    </row>
    <row r="77" spans="1:36" s="197" customFormat="1" ht="38.25" customHeight="1" x14ac:dyDescent="0.25">
      <c r="A77" s="196"/>
      <c r="B77" s="196"/>
      <c r="C77" s="196"/>
      <c r="D77" s="196"/>
      <c r="E77" s="196" t="s">
        <v>215</v>
      </c>
      <c r="F77" s="196"/>
      <c r="G77" s="196"/>
      <c r="I77" s="196"/>
      <c r="J77" s="196"/>
      <c r="K77" s="196"/>
      <c r="M77" s="196" t="s">
        <v>221</v>
      </c>
      <c r="N77" s="196"/>
      <c r="P77" s="216"/>
      <c r="Q77" s="197" t="s">
        <v>214</v>
      </c>
    </row>
  </sheetData>
  <dataConsolidate/>
  <mergeCells count="131">
    <mergeCell ref="R5:AE5"/>
    <mergeCell ref="R6:AE6"/>
    <mergeCell ref="J58:J63"/>
    <mergeCell ref="K58:K63"/>
    <mergeCell ref="L58:L63"/>
    <mergeCell ref="K52:K57"/>
    <mergeCell ref="B70:AJ70"/>
    <mergeCell ref="I16:I17"/>
    <mergeCell ref="J16:J17"/>
    <mergeCell ref="L16:L17"/>
    <mergeCell ref="M16:M17"/>
    <mergeCell ref="N16:N17"/>
    <mergeCell ref="O16:O17"/>
    <mergeCell ref="Q16:Q17"/>
    <mergeCell ref="R16:R17"/>
    <mergeCell ref="S16:S17"/>
    <mergeCell ref="T16:T17"/>
    <mergeCell ref="U16:U17"/>
    <mergeCell ref="V16:V17"/>
    <mergeCell ref="AH16:AH17"/>
    <mergeCell ref="AI16:AI17"/>
    <mergeCell ref="AD16:AD17"/>
    <mergeCell ref="F16:F17"/>
    <mergeCell ref="A1:AJ2"/>
    <mergeCell ref="A7:G7"/>
    <mergeCell ref="H7:N7"/>
    <mergeCell ref="O7:W7"/>
    <mergeCell ref="X7:AD7"/>
    <mergeCell ref="AE7:AJ7"/>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AB16:AB17"/>
    <mergeCell ref="AC16:AC17"/>
    <mergeCell ref="N64:N69"/>
    <mergeCell ref="A16:A17"/>
    <mergeCell ref="P16:P17"/>
    <mergeCell ref="AE16:AE17"/>
    <mergeCell ref="AF16:AF17"/>
    <mergeCell ref="B16:B17"/>
    <mergeCell ref="G16:G17"/>
    <mergeCell ref="H16:H17"/>
    <mergeCell ref="W16:W17"/>
    <mergeCell ref="Y16:Y17"/>
    <mergeCell ref="Z16:Z17"/>
    <mergeCell ref="AA16:AA17"/>
    <mergeCell ref="C16:C21"/>
    <mergeCell ref="D16:D21"/>
    <mergeCell ref="E16:E21"/>
    <mergeCell ref="A58:A63"/>
    <mergeCell ref="B58:B63"/>
    <mergeCell ref="C58:C63"/>
    <mergeCell ref="D58:D63"/>
    <mergeCell ref="E58:E63"/>
    <mergeCell ref="F58:F63"/>
    <mergeCell ref="G58:G63"/>
    <mergeCell ref="H58:H63"/>
    <mergeCell ref="I58:I63"/>
    <mergeCell ref="K46:K51"/>
    <mergeCell ref="K40:K45"/>
    <mergeCell ref="K28:K33"/>
    <mergeCell ref="K22:K27"/>
    <mergeCell ref="P18:P19"/>
    <mergeCell ref="AI22:AI23"/>
    <mergeCell ref="AI28:AI29"/>
    <mergeCell ref="AI34:AI35"/>
    <mergeCell ref="AI40:AI41"/>
    <mergeCell ref="AH22:AH23"/>
    <mergeCell ref="AG28:AG29"/>
    <mergeCell ref="AH28:AH29"/>
    <mergeCell ref="AG34:AG35"/>
    <mergeCell ref="AH34:AH35"/>
    <mergeCell ref="AH40:AH41"/>
    <mergeCell ref="AG40:AG41"/>
    <mergeCell ref="AJ16:AJ17"/>
    <mergeCell ref="AG16:AG17"/>
    <mergeCell ref="Z8:Z9"/>
    <mergeCell ref="G8:G9"/>
    <mergeCell ref="H8:H9"/>
    <mergeCell ref="I8:I9"/>
    <mergeCell ref="K34:K39"/>
    <mergeCell ref="AE8:AE9"/>
    <mergeCell ref="AJ8:AJ9"/>
    <mergeCell ref="AI8:AI9"/>
    <mergeCell ref="AH8:AH9"/>
    <mergeCell ref="AG8:AG9"/>
    <mergeCell ref="AF8:AF9"/>
    <mergeCell ref="L8:L9"/>
    <mergeCell ref="M8:M9"/>
    <mergeCell ref="AI10:AI11"/>
    <mergeCell ref="J8:J9"/>
    <mergeCell ref="K8:K9"/>
    <mergeCell ref="Q8:Q9"/>
    <mergeCell ref="R8:W8"/>
    <mergeCell ref="AF22:AF23"/>
    <mergeCell ref="AG22:AG23"/>
    <mergeCell ref="C5:Q5"/>
    <mergeCell ref="C6:Q6"/>
    <mergeCell ref="C4:Q4"/>
    <mergeCell ref="A4:B4"/>
    <mergeCell ref="A5:B5"/>
    <mergeCell ref="A6:B6"/>
    <mergeCell ref="A8:A9"/>
    <mergeCell ref="F8:F9"/>
    <mergeCell ref="E8:E9"/>
    <mergeCell ref="D8:D9"/>
    <mergeCell ref="C8:C9"/>
    <mergeCell ref="B8:B9"/>
    <mergeCell ref="AD8:AD9"/>
    <mergeCell ref="O8:O9"/>
    <mergeCell ref="AC8:AC9"/>
    <mergeCell ref="AB8:AB9"/>
    <mergeCell ref="X8:X9"/>
    <mergeCell ref="P8:P9"/>
    <mergeCell ref="AA8:AA9"/>
    <mergeCell ref="Y8:Y9"/>
    <mergeCell ref="N8:N9"/>
    <mergeCell ref="R3:AE3"/>
    <mergeCell ref="R4:AE4"/>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 Y18: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 AA18: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 AC18: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dataValidations count="2">
    <dataValidation allowBlank="1" showInputMessage="1" showErrorMessage="1" prompt="Recuerde que las acciones se generan bajo la medida de mitigar el riesgo" sqref="AH40:AH41 AG40 AG22 AH22:AH23 AG28 AH28:AH29 AG34 AH34:AH35" xr:uid="{AD1425E4-E003-41B4-B8A5-48ED32B7BE6B}"/>
    <dataValidation allowBlank="1" showInputMessage="1" showErrorMessage="1" error="Recuerde que las acciones se generan bajo la medida de mitigar el riesgo" sqref="P10 AE10 AE28 AE22 AE34 AE40 AE16:AE17" xr:uid="{4B69E062-E478-46FC-9410-030DEB9D967D}"/>
  </dataValidations>
  <printOptions horizontalCentered="1"/>
  <pageMargins left="0.31496062992125984" right="0.31496062992125984" top="0.35433070866141736" bottom="0.35433070866141736" header="0.31496062992125984" footer="0.31496062992125984"/>
  <pageSetup paperSize="14" scale="17" orientation="landscape" r:id="rId1"/>
  <ignoredErrors>
    <ignoredError sqref="AB12" formula="1"/>
  </ignoredError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R10:R16 R18:R69</xm:sqref>
        </x14:dataValidation>
        <x14:dataValidation type="list" allowBlank="1" showInputMessage="1" showErrorMessage="1" xr:uid="{00000000-0002-0000-0100-000001000000}">
          <x14:formula1>
            <xm:f>'Tabla Valoración controles'!$D$7:$D$8</xm:f>
          </x14:formula1>
          <xm:sqref>S10:S16 S18:S69</xm:sqref>
        </x14:dataValidation>
        <x14:dataValidation type="list" allowBlank="1" showInputMessage="1" showErrorMessage="1" xr:uid="{00000000-0002-0000-0100-000002000000}">
          <x14:formula1>
            <xm:f>'Tabla Valoración controles'!$D$9:$D$10</xm:f>
          </x14:formula1>
          <xm:sqref>U10:U16 U18:U69</xm:sqref>
        </x14:dataValidation>
        <x14:dataValidation type="list" allowBlank="1" showInputMessage="1" showErrorMessage="1" xr:uid="{00000000-0002-0000-0100-000003000000}">
          <x14:formula1>
            <xm:f>'Tabla Valoración controles'!$D$11:$D$12</xm:f>
          </x14:formula1>
          <xm:sqref>V10:V16 V18:V69</xm:sqref>
        </x14:dataValidation>
        <x14:dataValidation type="list" allowBlank="1" showInputMessage="1" showErrorMessage="1" xr:uid="{00000000-0002-0000-0100-000004000000}">
          <x14:formula1>
            <xm:f>'Opciones Tratamiento'!$B$9:$B$10</xm:f>
          </x14:formula1>
          <xm:sqref>AJ10:AJ11 AJ13:AJ14 AJ67:AJ68 AJ19:AJ20 AJ22:AJ23 AJ25:AJ26 AJ28:AJ29 AJ31:AJ32 AJ34:AJ35 AJ37:AJ38 AJ40:AJ41 AJ43:AJ44 AJ46:AJ47 AJ49:AJ50 AJ52:AJ53 AJ55:AJ56 AJ58:AJ59 AJ61:AJ62 AJ64:AJ65 AJ16</xm:sqref>
        </x14:dataValidation>
        <x14:dataValidation type="list" allowBlank="1" showInputMessage="1" showErrorMessage="1" xr:uid="{00000000-0002-0000-0100-000005000000}">
          <x14:formula1>
            <xm:f>'Tabla Valoración controles'!$D$13:$D$14</xm:f>
          </x14:formula1>
          <xm:sqref>W10:W16 W18:W69</xm:sqref>
        </x14:dataValidation>
        <x14:dataValidation type="list" allowBlank="1" showInputMessage="1" showErrorMessage="1" xr:uid="{00000000-0002-0000-0100-000006000000}">
          <x14:formula1>
            <xm:f>'Opciones Tratamiento'!$B$13:$B$19</xm:f>
          </x14:formula1>
          <xm:sqref>F10:F16 F18:F69</xm:sqref>
        </x14:dataValidation>
        <x14:dataValidation type="list" allowBlank="1" showInputMessage="1" showErrorMessage="1" xr:uid="{00000000-0002-0000-0100-000007000000}">
          <x14:formula1>
            <xm:f>'Opciones Tratamiento'!$E$2:$E$4</xm:f>
          </x14:formula1>
          <xm:sqref>B10:B16 B18:B69</xm:sqref>
        </x14:dataValidation>
        <x14:dataValidation type="list" allowBlank="1" showInputMessage="1" showErrorMessage="1" xr:uid="{00000000-0002-0000-0100-000008000000}">
          <x14:formula1>
            <xm:f>'Opciones Tratamiento'!$B$2:$B$5</xm:f>
          </x14:formula1>
          <xm:sqref>AD10:AD16 AD18:AD69</xm:sqref>
        </x14:dataValidation>
        <x14:dataValidation type="list" allowBlank="1" showInputMessage="1" showErrorMessage="1" xr:uid="{00000000-0002-0000-0100-000009000000}">
          <x14:formula1>
            <xm:f>'Tabla Impacto'!$F$210:$F$221</xm:f>
          </x14:formula1>
          <xm:sqref>J10:J16 J18:J69</xm:sqref>
        </x14:dataValidation>
        <x14:dataValidation type="custom" allowBlank="1" showInputMessage="1" showErrorMessage="1" error="Recuerde que las acciones se generan bajo la medida de mitigar el riesgo" xr:uid="{00000000-0002-0000-0100-00000A000000}">
          <x14:formula1>
            <xm:f>IF(OR(AD11='Opciones Tratamiento'!$B$2,AD11='Opciones Tratamiento'!$B$3,AD11='Opciones Tratamiento'!$B$4),ISBLANK(AD11),ISTEXT(AD11))</xm:f>
          </x14:formula1>
          <xm:sqref>AE11:AE15 AE18:AE21 AE24:AE27 AE30:AE33 AE36:AE39 AE41:AE69</xm:sqref>
        </x14:dataValidation>
        <x14:dataValidation type="custom" allowBlank="1" showInputMessage="1" showErrorMessage="1" error="Recuerde que las acciones se generan bajo la medida de mitigar el riesgo" xr:uid="{00000000-0002-0000-0100-00000B000000}">
          <x14:formula1>
            <xm:f>IF(OR(AD11='Opciones Tratamiento'!$B$2,AD11='Opciones Tratamiento'!$B$3,AD11='Opciones Tratamiento'!$B$4),ISBLANK(AD11),ISTEXT(AD11))</xm:f>
          </x14:formula1>
          <xm:sqref>AF11:AF15 AF18:AF21 AF24:AF27 AF30:AF33 AF36:AF39 AF41:AF69</xm:sqref>
        </x14:dataValidation>
        <x14:dataValidation type="custom" allowBlank="1" showInputMessage="1" showErrorMessage="1" error="Recuerde que las acciones se generan bajo la medida de mitigar el riesgo" xr:uid="{00000000-0002-0000-0100-00000C000000}">
          <x14:formula1>
            <xm:f>IF(OR(AD11='Opciones Tratamiento'!$B$2,AD11='Opciones Tratamiento'!$B$3,AD11='Opciones Tratamiento'!$B$4),ISBLANK(AD11),ISTEXT(AD11))</xm:f>
          </x14:formula1>
          <xm:sqref>AG11:AG15 AG18:AG21 AG24:AG27 AG30:AG33 AG36:AG39 AG42:AG69</xm:sqref>
        </x14:dataValidation>
        <x14:dataValidation type="custom" allowBlank="1" showInputMessage="1" showErrorMessage="1" error="Recuerde que las acciones se generan bajo la medida de mitigar el riesgo" xr:uid="{00000000-0002-0000-0100-00000D000000}">
          <x14:formula1>
            <xm:f>IF(OR(AD11='Opciones Tratamiento'!$B$2,AD11='Opciones Tratamiento'!$B$3,AD11='Opciones Tratamiento'!$B$4),ISBLANK(AD11),ISTEXT(AD11))</xm:f>
          </x14:formula1>
          <xm:sqref>AH11:AH15 AH18:AH21 AH24:AH27 AH30:AH33 AH36:AH39 AH42:AH69</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AI12:AI15 AI18:AI21 AI24:AI27 AI30:AI33 AI36:AI39 AI42:AI69</xm:sqref>
        </x14:dataValidation>
        <x14:dataValidation type="custom" allowBlank="1" showInputMessage="1" showErrorMessage="1" error="Recuerde que las acciones se generan bajo la medida de mitigar el riesgo" xr:uid="{D8D5BBC4-9B3D-4BCC-AE03-7B6376143DF2}">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AI10 AI34 AI22 AI16 AI28 AI40</xm:sqref>
        </x14:dataValidation>
        <x14:dataValidation type="custom" allowBlank="1" showInputMessage="1" showErrorMessage="1" error="Recuerde que las acciones se generan bajo la medida de mitigar el riesgo" xr:uid="{7832FDCC-7D00-4E7E-9A2F-A367023CE1FB}">
          <x14:formula1>
            <xm:f>IF(OR(AD16='D:\Users\JHANNIER\Desktop\[MAPA DE RIESGOS PROCESO GESTIÓN FINANCIERA FINAL.xlsx]Opciones Tratamiento'!#REF!,AD16='D:\Users\JHANNIER\Desktop\[MAPA DE RIESGOS PROCESO GESTIÓN FINANCIERA FINAL.xlsx]Opciones Tratamiento'!#REF!,AD16='D:\Users\JHANNIER\Desktop\[MAPA DE RIESGOS PROCESO GESTIÓN FINANCIERA FINAL.xlsx]Opciones Tratamiento'!#REF!),ISBLANK(AD16),ISTEXT(AD16))</xm:f>
          </x14:formula1>
          <xm:sqref>AF40 AF16 AF22 AF28 AF34</xm:sqref>
        </x14:dataValidation>
        <x14:dataValidation type="custom" allowBlank="1" showInputMessage="1" showErrorMessage="1" error="Recuerde que las acciones se generan bajo la medida de mitigar el riesgo" xr:uid="{697B7E42-1B6E-4CBC-8AA7-E95F0AA6C92F}">
          <x14:formula1>
            <xm:f>IF(OR(AD16='D:\Users\JHANNIER\Desktop\[MAPA DE RIESGOS PROCESO GESTIÓN FINANCIERA FINAL.xlsx]Opciones Tratamiento'!#REF!,AD16='D:\Users\JHANNIER\Desktop\[MAPA DE RIESGOS PROCESO GESTIÓN FINANCIERA FINAL.xlsx]Opciones Tratamiento'!#REF!,AD16='D:\Users\JHANNIER\Desktop\[MAPA DE RIESGOS PROCESO GESTIÓN FINANCIERA FINAL.xlsx]Opciones Tratamiento'!#REF!),ISBLANK(AD16),ISTEXT(AD16))</xm:f>
          </x14:formula1>
          <xm:sqref>AH16</xm:sqref>
        </x14:dataValidation>
        <x14:dataValidation type="custom" allowBlank="1" showInputMessage="1" showErrorMessage="1" error="Recuerde que las acciones se generan bajo la medida de mitigar el riesgo" xr:uid="{B936A0E7-2DC7-4654-9ED5-C51DF554191B}">
          <x14:formula1>
            <xm:f>IF(OR(AD16='D:\Users\JHANNIER\Desktop\[MAPA DE RIESGOS PROCESO GESTIÓN FINANCIERA FINAL.xlsx]Opciones Tratamiento'!#REF!,AD16='D:\Users\JHANNIER\Desktop\[MAPA DE RIESGOS PROCESO GESTIÓN FINANCIERA FINAL.xlsx]Opciones Tratamiento'!#REF!,AD16='D:\Users\JHANNIER\Desktop\[MAPA DE RIESGOS PROCESO GESTIÓN FINANCIERA FINAL.xlsx]Opciones Tratamiento'!#REF!),ISBLANK(AD16),ISTEXT(AD16))</xm:f>
          </x14:formula1>
          <xm:sqref>AG16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row>
    <row r="2" spans="1:99" ht="18" customHeight="1" x14ac:dyDescent="0.25">
      <c r="A2" s="70"/>
      <c r="B2" s="310" t="s">
        <v>160</v>
      </c>
      <c r="C2" s="310"/>
      <c r="D2" s="310"/>
      <c r="E2" s="310"/>
      <c r="F2" s="310"/>
      <c r="G2" s="310"/>
      <c r="H2" s="310"/>
      <c r="I2" s="310"/>
      <c r="J2" s="348" t="s">
        <v>2</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row>
    <row r="3" spans="1:99" ht="18.75" customHeight="1" x14ac:dyDescent="0.25">
      <c r="A3" s="70"/>
      <c r="B3" s="310"/>
      <c r="C3" s="310"/>
      <c r="D3" s="310"/>
      <c r="E3" s="310"/>
      <c r="F3" s="310"/>
      <c r="G3" s="310"/>
      <c r="H3" s="310"/>
      <c r="I3" s="310"/>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row>
    <row r="4" spans="1:99" ht="15" customHeight="1" x14ac:dyDescent="0.25">
      <c r="A4" s="70"/>
      <c r="B4" s="310"/>
      <c r="C4" s="310"/>
      <c r="D4" s="310"/>
      <c r="E4" s="310"/>
      <c r="F4" s="310"/>
      <c r="G4" s="310"/>
      <c r="H4" s="310"/>
      <c r="I4" s="310"/>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row>
    <row r="5" spans="1:99"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row>
    <row r="6" spans="1:99" ht="15" customHeight="1" x14ac:dyDescent="0.25">
      <c r="A6" s="70"/>
      <c r="B6" s="360" t="s">
        <v>4</v>
      </c>
      <c r="C6" s="360"/>
      <c r="D6" s="361"/>
      <c r="E6" s="349" t="s">
        <v>116</v>
      </c>
      <c r="F6" s="350"/>
      <c r="G6" s="350"/>
      <c r="H6" s="350"/>
      <c r="I6" s="351"/>
      <c r="J6" s="345" t="str">
        <f>IF(AND('Mapa final'!$H$10="Muy Alta",'Mapa final'!$L$10="Leve"),CONCATENATE("R",'Mapa final'!$A$10),"")</f>
        <v/>
      </c>
      <c r="K6" s="346"/>
      <c r="L6" s="346" t="str">
        <f>IF(AND('Mapa final'!$H$16="Muy Alta",'Mapa final'!$L$16="Leve"),CONCATENATE("R",'Mapa final'!$A$16),"")</f>
        <v/>
      </c>
      <c r="M6" s="346"/>
      <c r="N6" s="346" t="str">
        <f>IF(AND('Mapa final'!$H$22="Muy Alta",'Mapa final'!$L$22="Leve"),CONCATENATE("R",'Mapa final'!$A$22),"")</f>
        <v/>
      </c>
      <c r="O6" s="347"/>
      <c r="P6" s="345" t="str">
        <f>IF(AND('Mapa final'!$H$10="Muy Alta",'Mapa final'!$L$10="Menor"),CONCATENATE("R",'Mapa final'!$A$10),"")</f>
        <v/>
      </c>
      <c r="Q6" s="346"/>
      <c r="R6" s="346" t="str">
        <f>IF(AND('Mapa final'!$H$16="Muy Alta",'Mapa final'!$L$16="Menor"),CONCATENATE("R",'Mapa final'!$A$16),"")</f>
        <v/>
      </c>
      <c r="S6" s="346"/>
      <c r="T6" s="346" t="str">
        <f>IF(AND('Mapa final'!$H$22="Muy Alta",'Mapa final'!$L$22="Menor"),CONCATENATE("R",'Mapa final'!$A$22),"")</f>
        <v/>
      </c>
      <c r="U6" s="347"/>
      <c r="V6" s="345" t="str">
        <f>IF(AND('Mapa final'!$H$10="Muy Alta",'Mapa final'!$L$10="Moderado"),CONCATENATE("R",'Mapa final'!$A$10),"")</f>
        <v/>
      </c>
      <c r="W6" s="346"/>
      <c r="X6" s="346" t="str">
        <f>IF(AND('Mapa final'!$H$16="Muy Alta",'Mapa final'!$L$16="Moderado"),CONCATENATE("R",'Mapa final'!$A$16),"")</f>
        <v/>
      </c>
      <c r="Y6" s="346"/>
      <c r="Z6" s="346" t="str">
        <f>IF(AND('Mapa final'!$H$22="Muy Alta",'Mapa final'!$L$22="Moderado"),CONCATENATE("R",'Mapa final'!$A$22),"")</f>
        <v/>
      </c>
      <c r="AA6" s="347"/>
      <c r="AB6" s="345" t="str">
        <f>IF(AND('Mapa final'!$H$10="Muy Alta",'Mapa final'!$L$10="Mayor"),CONCATENATE("R",'Mapa final'!$A$10),"")</f>
        <v/>
      </c>
      <c r="AC6" s="346"/>
      <c r="AD6" s="346" t="str">
        <f>IF(AND('Mapa final'!$H$16="Muy Alta",'Mapa final'!$L$16="Mayor"),CONCATENATE("R",'Mapa final'!$A$16),"")</f>
        <v/>
      </c>
      <c r="AE6" s="346"/>
      <c r="AF6" s="346" t="str">
        <f>IF(AND('Mapa final'!$H$22="Muy Alta",'Mapa final'!$L$22="Mayor"),CONCATENATE("R",'Mapa final'!$A$22),"")</f>
        <v/>
      </c>
      <c r="AG6" s="347"/>
      <c r="AH6" s="335" t="str">
        <f>IF(AND('Mapa final'!$H$10="Muy Alta",'Mapa final'!$L$10="Catastrófico"),CONCATENATE("R",'Mapa final'!$A$10),"")</f>
        <v/>
      </c>
      <c r="AI6" s="336"/>
      <c r="AJ6" s="336" t="str">
        <f>IF(AND('Mapa final'!$H$16="Muy Alta",'Mapa final'!$L$16="Catastrófico"),CONCATENATE("R",'Mapa final'!$A$16),"")</f>
        <v/>
      </c>
      <c r="AK6" s="336"/>
      <c r="AL6" s="336" t="str">
        <f>IF(AND('Mapa final'!$H$22="Muy Alta",'Mapa final'!$L$22="Catastrófico"),CONCATENATE("R",'Mapa final'!$A$22),"")</f>
        <v/>
      </c>
      <c r="AM6" s="337"/>
      <c r="AO6" s="362" t="s">
        <v>79</v>
      </c>
      <c r="AP6" s="363"/>
      <c r="AQ6" s="363"/>
      <c r="AR6" s="363"/>
      <c r="AS6" s="363"/>
      <c r="AT6" s="364"/>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row>
    <row r="7" spans="1:99" ht="15" customHeight="1" x14ac:dyDescent="0.25">
      <c r="A7" s="70"/>
      <c r="B7" s="360"/>
      <c r="C7" s="360"/>
      <c r="D7" s="361"/>
      <c r="E7" s="352"/>
      <c r="F7" s="353"/>
      <c r="G7" s="353"/>
      <c r="H7" s="353"/>
      <c r="I7" s="354"/>
      <c r="J7" s="338"/>
      <c r="K7" s="339"/>
      <c r="L7" s="339"/>
      <c r="M7" s="339"/>
      <c r="N7" s="339"/>
      <c r="O7" s="341"/>
      <c r="P7" s="338"/>
      <c r="Q7" s="339"/>
      <c r="R7" s="339"/>
      <c r="S7" s="339"/>
      <c r="T7" s="339"/>
      <c r="U7" s="341"/>
      <c r="V7" s="338"/>
      <c r="W7" s="339"/>
      <c r="X7" s="339"/>
      <c r="Y7" s="339"/>
      <c r="Z7" s="339"/>
      <c r="AA7" s="341"/>
      <c r="AB7" s="338"/>
      <c r="AC7" s="339"/>
      <c r="AD7" s="339"/>
      <c r="AE7" s="339"/>
      <c r="AF7" s="339"/>
      <c r="AG7" s="341"/>
      <c r="AH7" s="329"/>
      <c r="AI7" s="330"/>
      <c r="AJ7" s="330"/>
      <c r="AK7" s="330"/>
      <c r="AL7" s="330"/>
      <c r="AM7" s="331"/>
      <c r="AN7" s="70"/>
      <c r="AO7" s="365"/>
      <c r="AP7" s="366"/>
      <c r="AQ7" s="366"/>
      <c r="AR7" s="366"/>
      <c r="AS7" s="366"/>
      <c r="AT7" s="367"/>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row>
    <row r="8" spans="1:99" ht="15" customHeight="1" x14ac:dyDescent="0.25">
      <c r="A8" s="70"/>
      <c r="B8" s="360"/>
      <c r="C8" s="360"/>
      <c r="D8" s="361"/>
      <c r="E8" s="352"/>
      <c r="F8" s="353"/>
      <c r="G8" s="353"/>
      <c r="H8" s="353"/>
      <c r="I8" s="354"/>
      <c r="J8" s="338" t="str">
        <f>IF(AND('Mapa final'!$H$28="Muy Alta",'Mapa final'!$L$28="Leve"),CONCATENATE("R",'Mapa final'!$A$28),"")</f>
        <v/>
      </c>
      <c r="K8" s="339"/>
      <c r="L8" s="340" t="str">
        <f>IF(AND('Mapa final'!$H$34="Muy Alta",'Mapa final'!$L$34="Leve"),CONCATENATE("R",'Mapa final'!$A$34),"")</f>
        <v/>
      </c>
      <c r="M8" s="340"/>
      <c r="N8" s="340" t="str">
        <f>IF(AND('Mapa final'!$H$40="Muy Alta",'Mapa final'!$L$40="Leve"),CONCATENATE("R",'Mapa final'!$A$40),"")</f>
        <v/>
      </c>
      <c r="O8" s="341"/>
      <c r="P8" s="338" t="str">
        <f>IF(AND('Mapa final'!$H$28="Muy Alta",'Mapa final'!$L$28="Menor"),CONCATENATE("R",'Mapa final'!$A$28),"")</f>
        <v/>
      </c>
      <c r="Q8" s="339"/>
      <c r="R8" s="340" t="str">
        <f>IF(AND('Mapa final'!$H$34="Muy Alta",'Mapa final'!$L$34="Menor"),CONCATENATE("R",'Mapa final'!$A$34),"")</f>
        <v/>
      </c>
      <c r="S8" s="340"/>
      <c r="T8" s="340" t="str">
        <f>IF(AND('Mapa final'!$H$40="Muy Alta",'Mapa final'!$L$40="Menor"),CONCATENATE("R",'Mapa final'!$A$40),"")</f>
        <v/>
      </c>
      <c r="U8" s="341"/>
      <c r="V8" s="338" t="str">
        <f>IF(AND('Mapa final'!$H$28="Muy Alta",'Mapa final'!$L$28="Moderado"),CONCATENATE("R",'Mapa final'!$A$28),"")</f>
        <v/>
      </c>
      <c r="W8" s="339"/>
      <c r="X8" s="340" t="str">
        <f>IF(AND('Mapa final'!$H$34="Muy Alta",'Mapa final'!$L$34="Moderado"),CONCATENATE("R",'Mapa final'!$A$34),"")</f>
        <v/>
      </c>
      <c r="Y8" s="340"/>
      <c r="Z8" s="340" t="str">
        <f>IF(AND('Mapa final'!$H$40="Muy Alta",'Mapa final'!$L$40="Moderado"),CONCATENATE("R",'Mapa final'!$A$40),"")</f>
        <v/>
      </c>
      <c r="AA8" s="341"/>
      <c r="AB8" s="338" t="str">
        <f>IF(AND('Mapa final'!$H$28="Muy Alta",'Mapa final'!$L$28="Mayor"),CONCATENATE("R",'Mapa final'!$A$28),"")</f>
        <v/>
      </c>
      <c r="AC8" s="339"/>
      <c r="AD8" s="340" t="str">
        <f>IF(AND('Mapa final'!$H$34="Muy Alta",'Mapa final'!$L$34="Mayor"),CONCATENATE("R",'Mapa final'!$A$34),"")</f>
        <v/>
      </c>
      <c r="AE8" s="340"/>
      <c r="AF8" s="340" t="str">
        <f>IF(AND('Mapa final'!$H$40="Muy Alta",'Mapa final'!$L$40="Mayor"),CONCATENATE("R",'Mapa final'!$A$40),"")</f>
        <v/>
      </c>
      <c r="AG8" s="341"/>
      <c r="AH8" s="329" t="str">
        <f>IF(AND('Mapa final'!$H$28="Muy Alta",'Mapa final'!$L$28="Catastrófico"),CONCATENATE("R",'Mapa final'!$A$28),"")</f>
        <v/>
      </c>
      <c r="AI8" s="330"/>
      <c r="AJ8" s="330" t="str">
        <f>IF(AND('Mapa final'!$H$34="Muy Alta",'Mapa final'!$L$34="Catastrófico"),CONCATENATE("R",'Mapa final'!$A$34),"")</f>
        <v/>
      </c>
      <c r="AK8" s="330"/>
      <c r="AL8" s="330" t="str">
        <f>IF(AND('Mapa final'!$H$40="Muy Alta",'Mapa final'!$L$40="Catastrófico"),CONCATENATE("R",'Mapa final'!$A$40),"")</f>
        <v/>
      </c>
      <c r="AM8" s="331"/>
      <c r="AN8" s="70"/>
      <c r="AO8" s="365"/>
      <c r="AP8" s="366"/>
      <c r="AQ8" s="366"/>
      <c r="AR8" s="366"/>
      <c r="AS8" s="366"/>
      <c r="AT8" s="367"/>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row>
    <row r="9" spans="1:99" ht="15" customHeight="1" x14ac:dyDescent="0.25">
      <c r="A9" s="70"/>
      <c r="B9" s="360"/>
      <c r="C9" s="360"/>
      <c r="D9" s="361"/>
      <c r="E9" s="352"/>
      <c r="F9" s="353"/>
      <c r="G9" s="353"/>
      <c r="H9" s="353"/>
      <c r="I9" s="354"/>
      <c r="J9" s="338"/>
      <c r="K9" s="339"/>
      <c r="L9" s="340"/>
      <c r="M9" s="340"/>
      <c r="N9" s="340"/>
      <c r="O9" s="341"/>
      <c r="P9" s="338"/>
      <c r="Q9" s="339"/>
      <c r="R9" s="340"/>
      <c r="S9" s="340"/>
      <c r="T9" s="340"/>
      <c r="U9" s="341"/>
      <c r="V9" s="338"/>
      <c r="W9" s="339"/>
      <c r="X9" s="340"/>
      <c r="Y9" s="340"/>
      <c r="Z9" s="340"/>
      <c r="AA9" s="341"/>
      <c r="AB9" s="338"/>
      <c r="AC9" s="339"/>
      <c r="AD9" s="340"/>
      <c r="AE9" s="340"/>
      <c r="AF9" s="340"/>
      <c r="AG9" s="341"/>
      <c r="AH9" s="329"/>
      <c r="AI9" s="330"/>
      <c r="AJ9" s="330"/>
      <c r="AK9" s="330"/>
      <c r="AL9" s="330"/>
      <c r="AM9" s="331"/>
      <c r="AN9" s="70"/>
      <c r="AO9" s="365"/>
      <c r="AP9" s="366"/>
      <c r="AQ9" s="366"/>
      <c r="AR9" s="366"/>
      <c r="AS9" s="366"/>
      <c r="AT9" s="367"/>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row>
    <row r="10" spans="1:99" ht="15" customHeight="1" x14ac:dyDescent="0.25">
      <c r="A10" s="70"/>
      <c r="B10" s="360"/>
      <c r="C10" s="360"/>
      <c r="D10" s="361"/>
      <c r="E10" s="352"/>
      <c r="F10" s="353"/>
      <c r="G10" s="353"/>
      <c r="H10" s="353"/>
      <c r="I10" s="354"/>
      <c r="J10" s="338" t="str">
        <f>IF(AND('Mapa final'!$H$46="Muy Alta",'Mapa final'!$L$46="Leve"),CONCATENATE("R",'Mapa final'!$A$46),"")</f>
        <v/>
      </c>
      <c r="K10" s="339"/>
      <c r="L10" s="340" t="str">
        <f>IF(AND('Mapa final'!$H$52="Muy Alta",'Mapa final'!$L$52="Leve"),CONCATENATE("R",'Mapa final'!$A$52),"")</f>
        <v/>
      </c>
      <c r="M10" s="340"/>
      <c r="N10" s="340" t="str">
        <f>IF(AND('Mapa final'!$H$58="Muy Alta",'Mapa final'!$L$58="Leve"),CONCATENATE("R",'Mapa final'!$A$58),"")</f>
        <v/>
      </c>
      <c r="O10" s="341"/>
      <c r="P10" s="338" t="str">
        <f>IF(AND('Mapa final'!$H$46="Muy Alta",'Mapa final'!$L$46="Menor"),CONCATENATE("R",'Mapa final'!$A$46),"")</f>
        <v/>
      </c>
      <c r="Q10" s="339"/>
      <c r="R10" s="340" t="str">
        <f>IF(AND('Mapa final'!$H$52="Muy Alta",'Mapa final'!$L$52="Menor"),CONCATENATE("R",'Mapa final'!$A$52),"")</f>
        <v/>
      </c>
      <c r="S10" s="340"/>
      <c r="T10" s="340" t="str">
        <f>IF(AND('Mapa final'!$H$58="Muy Alta",'Mapa final'!$L$58="Menor"),CONCATENATE("R",'Mapa final'!$A$58),"")</f>
        <v/>
      </c>
      <c r="U10" s="341"/>
      <c r="V10" s="338" t="str">
        <f>IF(AND('Mapa final'!$H$46="Muy Alta",'Mapa final'!$L$46="Moderado"),CONCATENATE("R",'Mapa final'!$A$46),"")</f>
        <v/>
      </c>
      <c r="W10" s="339"/>
      <c r="X10" s="340" t="str">
        <f>IF(AND('Mapa final'!$H$52="Muy Alta",'Mapa final'!$L$52="Moderado"),CONCATENATE("R",'Mapa final'!$A$52),"")</f>
        <v/>
      </c>
      <c r="Y10" s="340"/>
      <c r="Z10" s="340" t="str">
        <f>IF(AND('Mapa final'!$H$58="Muy Alta",'Mapa final'!$L$58="Moderado"),CONCATENATE("R",'Mapa final'!$A$58),"")</f>
        <v/>
      </c>
      <c r="AA10" s="341"/>
      <c r="AB10" s="338" t="str">
        <f>IF(AND('Mapa final'!$H$46="Muy Alta",'Mapa final'!$L$46="Mayor"),CONCATENATE("R",'Mapa final'!$A$46),"")</f>
        <v/>
      </c>
      <c r="AC10" s="339"/>
      <c r="AD10" s="340" t="str">
        <f>IF(AND('Mapa final'!$H$52="Muy Alta",'Mapa final'!$L$52="Mayor"),CONCATENATE("R",'Mapa final'!$A$52),"")</f>
        <v/>
      </c>
      <c r="AE10" s="340"/>
      <c r="AF10" s="340" t="str">
        <f>IF(AND('Mapa final'!$H$58="Muy Alta",'Mapa final'!$L$58="Mayor"),CONCATENATE("R",'Mapa final'!$A$58),"")</f>
        <v/>
      </c>
      <c r="AG10" s="341"/>
      <c r="AH10" s="329" t="str">
        <f>IF(AND('Mapa final'!$H$46="Muy Alta",'Mapa final'!$L$46="Catastrófico"),CONCATENATE("R",'Mapa final'!$A$46),"")</f>
        <v/>
      </c>
      <c r="AI10" s="330"/>
      <c r="AJ10" s="330" t="str">
        <f>IF(AND('Mapa final'!$H$52="Muy Alta",'Mapa final'!$L$52="Catastrófico"),CONCATENATE("R",'Mapa final'!$A$52),"")</f>
        <v/>
      </c>
      <c r="AK10" s="330"/>
      <c r="AL10" s="330" t="str">
        <f>IF(AND('Mapa final'!$H$58="Muy Alta",'Mapa final'!$L$58="Catastrófico"),CONCATENATE("R",'Mapa final'!$A$58),"")</f>
        <v/>
      </c>
      <c r="AM10" s="331"/>
      <c r="AN10" s="70"/>
      <c r="AO10" s="365"/>
      <c r="AP10" s="366"/>
      <c r="AQ10" s="366"/>
      <c r="AR10" s="366"/>
      <c r="AS10" s="366"/>
      <c r="AT10" s="367"/>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row>
    <row r="11" spans="1:99" ht="15" customHeight="1" x14ac:dyDescent="0.25">
      <c r="A11" s="70"/>
      <c r="B11" s="360"/>
      <c r="C11" s="360"/>
      <c r="D11" s="361"/>
      <c r="E11" s="352"/>
      <c r="F11" s="353"/>
      <c r="G11" s="353"/>
      <c r="H11" s="353"/>
      <c r="I11" s="354"/>
      <c r="J11" s="338"/>
      <c r="K11" s="339"/>
      <c r="L11" s="340"/>
      <c r="M11" s="340"/>
      <c r="N11" s="340"/>
      <c r="O11" s="341"/>
      <c r="P11" s="338"/>
      <c r="Q11" s="339"/>
      <c r="R11" s="340"/>
      <c r="S11" s="340"/>
      <c r="T11" s="340"/>
      <c r="U11" s="341"/>
      <c r="V11" s="338"/>
      <c r="W11" s="339"/>
      <c r="X11" s="340"/>
      <c r="Y11" s="340"/>
      <c r="Z11" s="340"/>
      <c r="AA11" s="341"/>
      <c r="AB11" s="338"/>
      <c r="AC11" s="339"/>
      <c r="AD11" s="340"/>
      <c r="AE11" s="340"/>
      <c r="AF11" s="340"/>
      <c r="AG11" s="341"/>
      <c r="AH11" s="329"/>
      <c r="AI11" s="330"/>
      <c r="AJ11" s="330"/>
      <c r="AK11" s="330"/>
      <c r="AL11" s="330"/>
      <c r="AM11" s="331"/>
      <c r="AN11" s="70"/>
      <c r="AO11" s="365"/>
      <c r="AP11" s="366"/>
      <c r="AQ11" s="366"/>
      <c r="AR11" s="366"/>
      <c r="AS11" s="366"/>
      <c r="AT11" s="367"/>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row>
    <row r="12" spans="1:99" ht="15" customHeight="1" x14ac:dyDescent="0.25">
      <c r="A12" s="70"/>
      <c r="B12" s="360"/>
      <c r="C12" s="360"/>
      <c r="D12" s="361"/>
      <c r="E12" s="352"/>
      <c r="F12" s="353"/>
      <c r="G12" s="353"/>
      <c r="H12" s="353"/>
      <c r="I12" s="354"/>
      <c r="J12" s="338" t="str">
        <f>IF(AND('Mapa final'!$H$64="Muy Alta",'Mapa final'!$L$64="Leve"),CONCATENATE("R",'Mapa final'!$A$64),"")</f>
        <v/>
      </c>
      <c r="K12" s="339"/>
      <c r="L12" s="340" t="str">
        <f>IF(AND('Mapa final'!$H$70="Muy Alta",'Mapa final'!$L$70="Leve"),CONCATENATE("R",'Mapa final'!$A$70),"")</f>
        <v/>
      </c>
      <c r="M12" s="340"/>
      <c r="N12" s="340" t="e">
        <f>IF(AND('Mapa final'!#REF!="Muy Alta",'Mapa final'!#REF!="Leve"),CONCATENATE("R",'Mapa final'!#REF!),"")</f>
        <v>#REF!</v>
      </c>
      <c r="O12" s="341"/>
      <c r="P12" s="338" t="str">
        <f>IF(AND('Mapa final'!$H$64="Muy Alta",'Mapa final'!$L$64="Menor"),CONCATENATE("R",'Mapa final'!$A$64),"")</f>
        <v/>
      </c>
      <c r="Q12" s="339"/>
      <c r="R12" s="340" t="str">
        <f>IF(AND('Mapa final'!$H$70="Muy Alta",'Mapa final'!$L$70="Menor"),CONCATENATE("R",'Mapa final'!$A$70),"")</f>
        <v/>
      </c>
      <c r="S12" s="340"/>
      <c r="T12" s="340" t="e">
        <f>IF(AND('Mapa final'!#REF!="Muy Alta",'Mapa final'!#REF!="Menor"),CONCATENATE("R",'Mapa final'!#REF!),"")</f>
        <v>#REF!</v>
      </c>
      <c r="U12" s="341"/>
      <c r="V12" s="338" t="str">
        <f>IF(AND('Mapa final'!$H$64="Muy Alta",'Mapa final'!$L$64="Moderado"),CONCATENATE("R",'Mapa final'!$A$64),"")</f>
        <v/>
      </c>
      <c r="W12" s="339"/>
      <c r="X12" s="340" t="str">
        <f>IF(AND('Mapa final'!$H$70="Muy Alta",'Mapa final'!$L$70="Moderado"),CONCATENATE("R",'Mapa final'!$A$70),"")</f>
        <v/>
      </c>
      <c r="Y12" s="340"/>
      <c r="Z12" s="340" t="e">
        <f>IF(AND('Mapa final'!#REF!="Muy Alta",'Mapa final'!#REF!="Moderado"),CONCATENATE("R",'Mapa final'!#REF!),"")</f>
        <v>#REF!</v>
      </c>
      <c r="AA12" s="341"/>
      <c r="AB12" s="338" t="str">
        <f>IF(AND('Mapa final'!$H$64="Muy Alta",'Mapa final'!$L$64="Mayor"),CONCATENATE("R",'Mapa final'!$A$64),"")</f>
        <v/>
      </c>
      <c r="AC12" s="339"/>
      <c r="AD12" s="340" t="str">
        <f>IF(AND('Mapa final'!$H$70="Muy Alta",'Mapa final'!$L$70="Mayor"),CONCATENATE("R",'Mapa final'!$A$70),"")</f>
        <v/>
      </c>
      <c r="AE12" s="340"/>
      <c r="AF12" s="340" t="e">
        <f>IF(AND('Mapa final'!#REF!="Muy Alta",'Mapa final'!#REF!="Mayor"),CONCATENATE("R",'Mapa final'!#REF!),"")</f>
        <v>#REF!</v>
      </c>
      <c r="AG12" s="341"/>
      <c r="AH12" s="329" t="str">
        <f>IF(AND('Mapa final'!$H$64="Muy Alta",'Mapa final'!$L$64="Catastrófico"),CONCATENATE("R",'Mapa final'!$A$64),"")</f>
        <v/>
      </c>
      <c r="AI12" s="330"/>
      <c r="AJ12" s="330" t="str">
        <f>IF(AND('Mapa final'!$H$70="Muy Alta",'Mapa final'!$L$70="Catastrófico"),CONCATENATE("R",'Mapa final'!$A$70),"")</f>
        <v/>
      </c>
      <c r="AK12" s="330"/>
      <c r="AL12" s="330" t="e">
        <f>IF(AND('Mapa final'!#REF!="Muy Alta",'Mapa final'!#REF!="Catastrófico"),CONCATENATE("R",'Mapa final'!#REF!),"")</f>
        <v>#REF!</v>
      </c>
      <c r="AM12" s="331"/>
      <c r="AN12" s="70"/>
      <c r="AO12" s="365"/>
      <c r="AP12" s="366"/>
      <c r="AQ12" s="366"/>
      <c r="AR12" s="366"/>
      <c r="AS12" s="366"/>
      <c r="AT12" s="367"/>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row>
    <row r="13" spans="1:99" ht="15.75" customHeight="1" thickBot="1" x14ac:dyDescent="0.3">
      <c r="A13" s="70"/>
      <c r="B13" s="360"/>
      <c r="C13" s="360"/>
      <c r="D13" s="361"/>
      <c r="E13" s="355"/>
      <c r="F13" s="356"/>
      <c r="G13" s="356"/>
      <c r="H13" s="356"/>
      <c r="I13" s="357"/>
      <c r="J13" s="338"/>
      <c r="K13" s="339"/>
      <c r="L13" s="339"/>
      <c r="M13" s="339"/>
      <c r="N13" s="339"/>
      <c r="O13" s="341"/>
      <c r="P13" s="338"/>
      <c r="Q13" s="339"/>
      <c r="R13" s="339"/>
      <c r="S13" s="339"/>
      <c r="T13" s="339"/>
      <c r="U13" s="341"/>
      <c r="V13" s="338"/>
      <c r="W13" s="339"/>
      <c r="X13" s="339"/>
      <c r="Y13" s="339"/>
      <c r="Z13" s="339"/>
      <c r="AA13" s="341"/>
      <c r="AB13" s="338"/>
      <c r="AC13" s="339"/>
      <c r="AD13" s="339"/>
      <c r="AE13" s="339"/>
      <c r="AF13" s="339"/>
      <c r="AG13" s="341"/>
      <c r="AH13" s="332"/>
      <c r="AI13" s="333"/>
      <c r="AJ13" s="333"/>
      <c r="AK13" s="333"/>
      <c r="AL13" s="333"/>
      <c r="AM13" s="334"/>
      <c r="AN13" s="70"/>
      <c r="AO13" s="368"/>
      <c r="AP13" s="369"/>
      <c r="AQ13" s="369"/>
      <c r="AR13" s="369"/>
      <c r="AS13" s="369"/>
      <c r="AT13" s="3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row>
    <row r="14" spans="1:99" ht="15" customHeight="1" x14ac:dyDescent="0.25">
      <c r="A14" s="70"/>
      <c r="B14" s="360"/>
      <c r="C14" s="360"/>
      <c r="D14" s="361"/>
      <c r="E14" s="349" t="s">
        <v>115</v>
      </c>
      <c r="F14" s="350"/>
      <c r="G14" s="350"/>
      <c r="H14" s="350"/>
      <c r="I14" s="350"/>
      <c r="J14" s="326" t="str">
        <f>IF(AND('Mapa final'!$H$10="Alta",'Mapa final'!$L$10="Leve"),CONCATENATE("R",'Mapa final'!$A$10),"")</f>
        <v/>
      </c>
      <c r="K14" s="327"/>
      <c r="L14" s="327" t="str">
        <f>IF(AND('Mapa final'!$H$16="Alta",'Mapa final'!$L$16="Leve"),CONCATENATE("R",'Mapa final'!$A$16),"")</f>
        <v/>
      </c>
      <c r="M14" s="327"/>
      <c r="N14" s="327" t="str">
        <f>IF(AND('Mapa final'!$H$22="Alta",'Mapa final'!$L$22="Leve"),CONCATENATE("R",'Mapa final'!$A$22),"")</f>
        <v/>
      </c>
      <c r="O14" s="328"/>
      <c r="P14" s="326" t="str">
        <f>IF(AND('Mapa final'!$H$10="Alta",'Mapa final'!$L$10="Menor"),CONCATENATE("R",'Mapa final'!$A$10),"")</f>
        <v/>
      </c>
      <c r="Q14" s="327"/>
      <c r="R14" s="327" t="str">
        <f>IF(AND('Mapa final'!$H$16="Alta",'Mapa final'!$L$16="Menor"),CONCATENATE("R",'Mapa final'!$A$16),"")</f>
        <v/>
      </c>
      <c r="S14" s="327"/>
      <c r="T14" s="327" t="str">
        <f>IF(AND('Mapa final'!$H$22="Alta",'Mapa final'!$L$22="Menor"),CONCATENATE("R",'Mapa final'!$A$22),"")</f>
        <v/>
      </c>
      <c r="U14" s="328"/>
      <c r="V14" s="345" t="str">
        <f>IF(AND('Mapa final'!$H$10="Alta",'Mapa final'!$L$10="Moderado"),CONCATENATE("R",'Mapa final'!$A$10),"")</f>
        <v/>
      </c>
      <c r="W14" s="346"/>
      <c r="X14" s="346" t="str">
        <f>IF(AND('Mapa final'!$H$16="Alta",'Mapa final'!$L$16="Moderado"),CONCATENATE("R",'Mapa final'!$A$16),"")</f>
        <v/>
      </c>
      <c r="Y14" s="346"/>
      <c r="Z14" s="346" t="str">
        <f>IF(AND('Mapa final'!$H$22="Alta",'Mapa final'!$L$22="Moderado"),CONCATENATE("R",'Mapa final'!$A$22),"")</f>
        <v/>
      </c>
      <c r="AA14" s="347"/>
      <c r="AB14" s="345" t="str">
        <f>IF(AND('Mapa final'!$H$10="Alta",'Mapa final'!$L$10="Mayor"),CONCATENATE("R",'Mapa final'!$A$10),"")</f>
        <v/>
      </c>
      <c r="AC14" s="346"/>
      <c r="AD14" s="346" t="str">
        <f>IF(AND('Mapa final'!$H$16="Alta",'Mapa final'!$L$16="Mayor"),CONCATENATE("R",'Mapa final'!$A$16),"")</f>
        <v/>
      </c>
      <c r="AE14" s="346"/>
      <c r="AF14" s="346" t="str">
        <f>IF(AND('Mapa final'!$H$22="Alta",'Mapa final'!$L$22="Mayor"),CONCATENATE("R",'Mapa final'!$A$22),"")</f>
        <v/>
      </c>
      <c r="AG14" s="347"/>
      <c r="AH14" s="335" t="str">
        <f>IF(AND('Mapa final'!$H$10="Alta",'Mapa final'!$L$10="Catastrófico"),CONCATENATE("R",'Mapa final'!$A$10),"")</f>
        <v/>
      </c>
      <c r="AI14" s="336"/>
      <c r="AJ14" s="336" t="str">
        <f>IF(AND('Mapa final'!$H$16="Alta",'Mapa final'!$L$16="Catastrófico"),CONCATENATE("R",'Mapa final'!$A$16),"")</f>
        <v/>
      </c>
      <c r="AK14" s="336"/>
      <c r="AL14" s="336" t="str">
        <f>IF(AND('Mapa final'!$H$22="Alta",'Mapa final'!$L$22="Catastrófico"),CONCATENATE("R",'Mapa final'!$A$22),"")</f>
        <v/>
      </c>
      <c r="AM14" s="337"/>
      <c r="AN14" s="70"/>
      <c r="AO14" s="371" t="s">
        <v>80</v>
      </c>
      <c r="AP14" s="372"/>
      <c r="AQ14" s="372"/>
      <c r="AR14" s="372"/>
      <c r="AS14" s="372"/>
      <c r="AT14" s="373"/>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row>
    <row r="15" spans="1:99" ht="15" customHeight="1" x14ac:dyDescent="0.25">
      <c r="A15" s="70"/>
      <c r="B15" s="360"/>
      <c r="C15" s="360"/>
      <c r="D15" s="361"/>
      <c r="E15" s="352"/>
      <c r="F15" s="353"/>
      <c r="G15" s="353"/>
      <c r="H15" s="353"/>
      <c r="I15" s="358"/>
      <c r="J15" s="320"/>
      <c r="K15" s="321"/>
      <c r="L15" s="321"/>
      <c r="M15" s="321"/>
      <c r="N15" s="321"/>
      <c r="O15" s="322"/>
      <c r="P15" s="320"/>
      <c r="Q15" s="321"/>
      <c r="R15" s="321"/>
      <c r="S15" s="321"/>
      <c r="T15" s="321"/>
      <c r="U15" s="322"/>
      <c r="V15" s="338"/>
      <c r="W15" s="339"/>
      <c r="X15" s="339"/>
      <c r="Y15" s="339"/>
      <c r="Z15" s="339"/>
      <c r="AA15" s="341"/>
      <c r="AB15" s="338"/>
      <c r="AC15" s="339"/>
      <c r="AD15" s="339"/>
      <c r="AE15" s="339"/>
      <c r="AF15" s="339"/>
      <c r="AG15" s="341"/>
      <c r="AH15" s="329"/>
      <c r="AI15" s="330"/>
      <c r="AJ15" s="330"/>
      <c r="AK15" s="330"/>
      <c r="AL15" s="330"/>
      <c r="AM15" s="331"/>
      <c r="AN15" s="70"/>
      <c r="AO15" s="374"/>
      <c r="AP15" s="375"/>
      <c r="AQ15" s="375"/>
      <c r="AR15" s="375"/>
      <c r="AS15" s="375"/>
      <c r="AT15" s="376"/>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row>
    <row r="16" spans="1:99" ht="15" customHeight="1" x14ac:dyDescent="0.25">
      <c r="A16" s="70"/>
      <c r="B16" s="360"/>
      <c r="C16" s="360"/>
      <c r="D16" s="361"/>
      <c r="E16" s="352"/>
      <c r="F16" s="353"/>
      <c r="G16" s="353"/>
      <c r="H16" s="353"/>
      <c r="I16" s="358"/>
      <c r="J16" s="320" t="str">
        <f>IF(AND('Mapa final'!$H$28="Alta",'Mapa final'!$L$28="Leve"),CONCATENATE("R",'Mapa final'!$A$28),"")</f>
        <v/>
      </c>
      <c r="K16" s="321"/>
      <c r="L16" s="321" t="str">
        <f>IF(AND('Mapa final'!$H$34="Alta",'Mapa final'!$L$34="Leve"),CONCATENATE("R",'Mapa final'!$A$34),"")</f>
        <v/>
      </c>
      <c r="M16" s="321"/>
      <c r="N16" s="321" t="str">
        <f>IF(AND('Mapa final'!$H$40="Alta",'Mapa final'!$L$40="Leve"),CONCATENATE("R",'Mapa final'!$A$40),"")</f>
        <v/>
      </c>
      <c r="O16" s="322"/>
      <c r="P16" s="320" t="str">
        <f>IF(AND('Mapa final'!$H$28="Alta",'Mapa final'!$L$28="Menor"),CONCATENATE("R",'Mapa final'!$A$28),"")</f>
        <v/>
      </c>
      <c r="Q16" s="321"/>
      <c r="R16" s="321" t="str">
        <f>IF(AND('Mapa final'!$H$34="Alta",'Mapa final'!$L$34="Menor"),CONCATENATE("R",'Mapa final'!$A$34),"")</f>
        <v/>
      </c>
      <c r="S16" s="321"/>
      <c r="T16" s="321" t="str">
        <f>IF(AND('Mapa final'!$H$40="Alta",'Mapa final'!$L$40="Menor"),CONCATENATE("R",'Mapa final'!$A$40),"")</f>
        <v/>
      </c>
      <c r="U16" s="322"/>
      <c r="V16" s="338" t="str">
        <f>IF(AND('Mapa final'!$H$28="Alta",'Mapa final'!$L$28="Moderado"),CONCATENATE("R",'Mapa final'!$A$28),"")</f>
        <v/>
      </c>
      <c r="W16" s="339"/>
      <c r="X16" s="340" t="str">
        <f>IF(AND('Mapa final'!$H$34="Alta",'Mapa final'!$L$34="Moderado"),CONCATENATE("R",'Mapa final'!$A$34),"")</f>
        <v/>
      </c>
      <c r="Y16" s="340"/>
      <c r="Z16" s="340" t="str">
        <f>IF(AND('Mapa final'!$H$40="Alta",'Mapa final'!$L$40="Moderado"),CONCATENATE("R",'Mapa final'!$A$40),"")</f>
        <v/>
      </c>
      <c r="AA16" s="341"/>
      <c r="AB16" s="338" t="str">
        <f>IF(AND('Mapa final'!$H$28="Alta",'Mapa final'!$L$28="Mayor"),CONCATENATE("R",'Mapa final'!$A$28),"")</f>
        <v/>
      </c>
      <c r="AC16" s="339"/>
      <c r="AD16" s="340" t="str">
        <f>IF(AND('Mapa final'!$H$34="Alta",'Mapa final'!$L$34="Mayor"),CONCATENATE("R",'Mapa final'!$A$34),"")</f>
        <v/>
      </c>
      <c r="AE16" s="340"/>
      <c r="AF16" s="340" t="str">
        <f>IF(AND('Mapa final'!$H$40="Alta",'Mapa final'!$L$40="Mayor"),CONCATENATE("R",'Mapa final'!$A$40),"")</f>
        <v/>
      </c>
      <c r="AG16" s="341"/>
      <c r="AH16" s="329" t="str">
        <f>IF(AND('Mapa final'!$H$28="Alta",'Mapa final'!$L$28="Catastrófico"),CONCATENATE("R",'Mapa final'!$A$28),"")</f>
        <v/>
      </c>
      <c r="AI16" s="330"/>
      <c r="AJ16" s="330" t="str">
        <f>IF(AND('Mapa final'!$H$34="Alta",'Mapa final'!$L$34="Catastrófico"),CONCATENATE("R",'Mapa final'!$A$34),"")</f>
        <v/>
      </c>
      <c r="AK16" s="330"/>
      <c r="AL16" s="330" t="str">
        <f>IF(AND('Mapa final'!$H$40="Alta",'Mapa final'!$L$40="Catastrófico"),CONCATENATE("R",'Mapa final'!$A$40),"")</f>
        <v/>
      </c>
      <c r="AM16" s="331"/>
      <c r="AN16" s="70"/>
      <c r="AO16" s="374"/>
      <c r="AP16" s="375"/>
      <c r="AQ16" s="375"/>
      <c r="AR16" s="375"/>
      <c r="AS16" s="375"/>
      <c r="AT16" s="376"/>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row>
    <row r="17" spans="1:80" ht="15" customHeight="1" x14ac:dyDescent="0.25">
      <c r="A17" s="70"/>
      <c r="B17" s="360"/>
      <c r="C17" s="360"/>
      <c r="D17" s="361"/>
      <c r="E17" s="352"/>
      <c r="F17" s="353"/>
      <c r="G17" s="353"/>
      <c r="H17" s="353"/>
      <c r="I17" s="358"/>
      <c r="J17" s="320"/>
      <c r="K17" s="321"/>
      <c r="L17" s="321"/>
      <c r="M17" s="321"/>
      <c r="N17" s="321"/>
      <c r="O17" s="322"/>
      <c r="P17" s="320"/>
      <c r="Q17" s="321"/>
      <c r="R17" s="321"/>
      <c r="S17" s="321"/>
      <c r="T17" s="321"/>
      <c r="U17" s="322"/>
      <c r="V17" s="338"/>
      <c r="W17" s="339"/>
      <c r="X17" s="340"/>
      <c r="Y17" s="340"/>
      <c r="Z17" s="340"/>
      <c r="AA17" s="341"/>
      <c r="AB17" s="338"/>
      <c r="AC17" s="339"/>
      <c r="AD17" s="340"/>
      <c r="AE17" s="340"/>
      <c r="AF17" s="340"/>
      <c r="AG17" s="341"/>
      <c r="AH17" s="329"/>
      <c r="AI17" s="330"/>
      <c r="AJ17" s="330"/>
      <c r="AK17" s="330"/>
      <c r="AL17" s="330"/>
      <c r="AM17" s="331"/>
      <c r="AN17" s="70"/>
      <c r="AO17" s="374"/>
      <c r="AP17" s="375"/>
      <c r="AQ17" s="375"/>
      <c r="AR17" s="375"/>
      <c r="AS17" s="375"/>
      <c r="AT17" s="376"/>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row>
    <row r="18" spans="1:80" ht="15" customHeight="1" x14ac:dyDescent="0.25">
      <c r="A18" s="70"/>
      <c r="B18" s="360"/>
      <c r="C18" s="360"/>
      <c r="D18" s="361"/>
      <c r="E18" s="352"/>
      <c r="F18" s="353"/>
      <c r="G18" s="353"/>
      <c r="H18" s="353"/>
      <c r="I18" s="358"/>
      <c r="J18" s="320" t="str">
        <f>IF(AND('Mapa final'!$H$46="Alta",'Mapa final'!$L$46="Leve"),CONCATENATE("R",'Mapa final'!$A$46),"")</f>
        <v/>
      </c>
      <c r="K18" s="321"/>
      <c r="L18" s="321" t="str">
        <f>IF(AND('Mapa final'!$H$52="Alta",'Mapa final'!$L$52="Leve"),CONCATENATE("R",'Mapa final'!$A$52),"")</f>
        <v/>
      </c>
      <c r="M18" s="321"/>
      <c r="N18" s="321" t="str">
        <f>IF(AND('Mapa final'!$H$58="Alta",'Mapa final'!$L$58="Leve"),CONCATENATE("R",'Mapa final'!$A$58),"")</f>
        <v/>
      </c>
      <c r="O18" s="322"/>
      <c r="P18" s="320" t="str">
        <f>IF(AND('Mapa final'!$H$46="Alta",'Mapa final'!$L$46="Menor"),CONCATENATE("R",'Mapa final'!$A$46),"")</f>
        <v/>
      </c>
      <c r="Q18" s="321"/>
      <c r="R18" s="321" t="str">
        <f>IF(AND('Mapa final'!$H$52="Alta",'Mapa final'!$L$52="Menor"),CONCATENATE("R",'Mapa final'!$A$52),"")</f>
        <v/>
      </c>
      <c r="S18" s="321"/>
      <c r="T18" s="321" t="str">
        <f>IF(AND('Mapa final'!$H$58="Alta",'Mapa final'!$L$58="Menor"),CONCATENATE("R",'Mapa final'!$A$58),"")</f>
        <v/>
      </c>
      <c r="U18" s="322"/>
      <c r="V18" s="338" t="str">
        <f>IF(AND('Mapa final'!$H$46="Alta",'Mapa final'!$L$46="Moderado"),CONCATENATE("R",'Mapa final'!$A$46),"")</f>
        <v/>
      </c>
      <c r="W18" s="339"/>
      <c r="X18" s="340" t="str">
        <f>IF(AND('Mapa final'!$H$52="Alta",'Mapa final'!$L$52="Moderado"),CONCATENATE("R",'Mapa final'!$A$52),"")</f>
        <v/>
      </c>
      <c r="Y18" s="340"/>
      <c r="Z18" s="340" t="str">
        <f>IF(AND('Mapa final'!$H$58="Alta",'Mapa final'!$L$58="Moderado"),CONCATENATE("R",'Mapa final'!$A$58),"")</f>
        <v/>
      </c>
      <c r="AA18" s="341"/>
      <c r="AB18" s="338" t="str">
        <f>IF(AND('Mapa final'!$H$46="Alta",'Mapa final'!$L$46="Mayor"),CONCATENATE("R",'Mapa final'!$A$46),"")</f>
        <v/>
      </c>
      <c r="AC18" s="339"/>
      <c r="AD18" s="340" t="str">
        <f>IF(AND('Mapa final'!$H$52="Alta",'Mapa final'!$L$52="Mayor"),CONCATENATE("R",'Mapa final'!$A$52),"")</f>
        <v/>
      </c>
      <c r="AE18" s="340"/>
      <c r="AF18" s="340" t="str">
        <f>IF(AND('Mapa final'!$H$58="Alta",'Mapa final'!$L$58="Mayor"),CONCATENATE("R",'Mapa final'!$A$58),"")</f>
        <v/>
      </c>
      <c r="AG18" s="341"/>
      <c r="AH18" s="329" t="str">
        <f>IF(AND('Mapa final'!$H$46="Alta",'Mapa final'!$L$46="Catastrófico"),CONCATENATE("R",'Mapa final'!$A$46),"")</f>
        <v/>
      </c>
      <c r="AI18" s="330"/>
      <c r="AJ18" s="330" t="str">
        <f>IF(AND('Mapa final'!$H$52="Alta",'Mapa final'!$L$52="Catastrófico"),CONCATENATE("R",'Mapa final'!$A$52),"")</f>
        <v/>
      </c>
      <c r="AK18" s="330"/>
      <c r="AL18" s="330" t="str">
        <f>IF(AND('Mapa final'!$H$58="Alta",'Mapa final'!$L$58="Catastrófico"),CONCATENATE("R",'Mapa final'!$A$58),"")</f>
        <v/>
      </c>
      <c r="AM18" s="331"/>
      <c r="AN18" s="70"/>
      <c r="AO18" s="374"/>
      <c r="AP18" s="375"/>
      <c r="AQ18" s="375"/>
      <c r="AR18" s="375"/>
      <c r="AS18" s="375"/>
      <c r="AT18" s="376"/>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row>
    <row r="19" spans="1:80" ht="15" customHeight="1" x14ac:dyDescent="0.25">
      <c r="A19" s="70"/>
      <c r="B19" s="360"/>
      <c r="C19" s="360"/>
      <c r="D19" s="361"/>
      <c r="E19" s="352"/>
      <c r="F19" s="353"/>
      <c r="G19" s="353"/>
      <c r="H19" s="353"/>
      <c r="I19" s="358"/>
      <c r="J19" s="320"/>
      <c r="K19" s="321"/>
      <c r="L19" s="321"/>
      <c r="M19" s="321"/>
      <c r="N19" s="321"/>
      <c r="O19" s="322"/>
      <c r="P19" s="320"/>
      <c r="Q19" s="321"/>
      <c r="R19" s="321"/>
      <c r="S19" s="321"/>
      <c r="T19" s="321"/>
      <c r="U19" s="322"/>
      <c r="V19" s="338"/>
      <c r="W19" s="339"/>
      <c r="X19" s="340"/>
      <c r="Y19" s="340"/>
      <c r="Z19" s="340"/>
      <c r="AA19" s="341"/>
      <c r="AB19" s="338"/>
      <c r="AC19" s="339"/>
      <c r="AD19" s="340"/>
      <c r="AE19" s="340"/>
      <c r="AF19" s="340"/>
      <c r="AG19" s="341"/>
      <c r="AH19" s="329"/>
      <c r="AI19" s="330"/>
      <c r="AJ19" s="330"/>
      <c r="AK19" s="330"/>
      <c r="AL19" s="330"/>
      <c r="AM19" s="331"/>
      <c r="AN19" s="70"/>
      <c r="AO19" s="374"/>
      <c r="AP19" s="375"/>
      <c r="AQ19" s="375"/>
      <c r="AR19" s="375"/>
      <c r="AS19" s="375"/>
      <c r="AT19" s="376"/>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row>
    <row r="20" spans="1:80" ht="15" customHeight="1" x14ac:dyDescent="0.25">
      <c r="A20" s="70"/>
      <c r="B20" s="360"/>
      <c r="C20" s="360"/>
      <c r="D20" s="361"/>
      <c r="E20" s="352"/>
      <c r="F20" s="353"/>
      <c r="G20" s="353"/>
      <c r="H20" s="353"/>
      <c r="I20" s="358"/>
      <c r="J20" s="320" t="str">
        <f>IF(AND('Mapa final'!$H$64="Alta",'Mapa final'!$L$64="Leve"),CONCATENATE("R",'Mapa final'!$A$64),"")</f>
        <v/>
      </c>
      <c r="K20" s="321"/>
      <c r="L20" s="321" t="str">
        <f>IF(AND('Mapa final'!$H$70="Alta",'Mapa final'!$L$70="Leve"),CONCATENATE("R",'Mapa final'!$A$70),"")</f>
        <v/>
      </c>
      <c r="M20" s="321"/>
      <c r="N20" s="321" t="e">
        <f>IF(AND('Mapa final'!#REF!="Alta",'Mapa final'!#REF!="Leve"),CONCATENATE("R",'Mapa final'!#REF!),"")</f>
        <v>#REF!</v>
      </c>
      <c r="O20" s="322"/>
      <c r="P20" s="320" t="str">
        <f>IF(AND('Mapa final'!$H$64="Alta",'Mapa final'!$L$64="Menor"),CONCATENATE("R",'Mapa final'!$A$64),"")</f>
        <v/>
      </c>
      <c r="Q20" s="321"/>
      <c r="R20" s="321" t="str">
        <f>IF(AND('Mapa final'!$H$70="Alta",'Mapa final'!$L$70="Menor"),CONCATENATE("R",'Mapa final'!$A$70),"")</f>
        <v/>
      </c>
      <c r="S20" s="321"/>
      <c r="T20" s="321" t="e">
        <f>IF(AND('Mapa final'!#REF!="Alta",'Mapa final'!#REF!="Menor"),CONCATENATE("R",'Mapa final'!#REF!),"")</f>
        <v>#REF!</v>
      </c>
      <c r="U20" s="322"/>
      <c r="V20" s="338" t="str">
        <f>IF(AND('Mapa final'!$H$64="Alta",'Mapa final'!$L$64="Moderado"),CONCATENATE("R",'Mapa final'!$A$64),"")</f>
        <v/>
      </c>
      <c r="W20" s="339"/>
      <c r="X20" s="340" t="str">
        <f>IF(AND('Mapa final'!$H$70="Alta",'Mapa final'!$L$70="Moderado"),CONCATENATE("R",'Mapa final'!$A$70),"")</f>
        <v/>
      </c>
      <c r="Y20" s="340"/>
      <c r="Z20" s="340" t="e">
        <f>IF(AND('Mapa final'!#REF!="Alta",'Mapa final'!#REF!="Moderado"),CONCATENATE("R",'Mapa final'!#REF!),"")</f>
        <v>#REF!</v>
      </c>
      <c r="AA20" s="341"/>
      <c r="AB20" s="338" t="str">
        <f>IF(AND('Mapa final'!$H$64="Alta",'Mapa final'!$L$64="Mayor"),CONCATENATE("R",'Mapa final'!$A$64),"")</f>
        <v/>
      </c>
      <c r="AC20" s="339"/>
      <c r="AD20" s="340" t="str">
        <f>IF(AND('Mapa final'!$H$70="Alta",'Mapa final'!$L$70="Mayor"),CONCATENATE("R",'Mapa final'!$A$70),"")</f>
        <v/>
      </c>
      <c r="AE20" s="340"/>
      <c r="AF20" s="340" t="e">
        <f>IF(AND('Mapa final'!#REF!="Alta",'Mapa final'!#REF!="Mayor"),CONCATENATE("R",'Mapa final'!#REF!),"")</f>
        <v>#REF!</v>
      </c>
      <c r="AG20" s="341"/>
      <c r="AH20" s="329" t="str">
        <f>IF(AND('Mapa final'!$H$64="Alta",'Mapa final'!$L$64="Catastrófico"),CONCATENATE("R",'Mapa final'!$A$64),"")</f>
        <v/>
      </c>
      <c r="AI20" s="330"/>
      <c r="AJ20" s="330" t="str">
        <f>IF(AND('Mapa final'!$H$70="Alta",'Mapa final'!$L$70="Catastrófico"),CONCATENATE("R",'Mapa final'!$A$70),"")</f>
        <v/>
      </c>
      <c r="AK20" s="330"/>
      <c r="AL20" s="330" t="e">
        <f>IF(AND('Mapa final'!#REF!="Alta",'Mapa final'!#REF!="Catastrófico"),CONCATENATE("R",'Mapa final'!#REF!),"")</f>
        <v>#REF!</v>
      </c>
      <c r="AM20" s="331"/>
      <c r="AN20" s="70"/>
      <c r="AO20" s="374"/>
      <c r="AP20" s="375"/>
      <c r="AQ20" s="375"/>
      <c r="AR20" s="375"/>
      <c r="AS20" s="375"/>
      <c r="AT20" s="376"/>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row>
    <row r="21" spans="1:80" ht="15.75" customHeight="1" thickBot="1" x14ac:dyDescent="0.3">
      <c r="A21" s="70"/>
      <c r="B21" s="360"/>
      <c r="C21" s="360"/>
      <c r="D21" s="361"/>
      <c r="E21" s="355"/>
      <c r="F21" s="356"/>
      <c r="G21" s="356"/>
      <c r="H21" s="356"/>
      <c r="I21" s="356"/>
      <c r="J21" s="323"/>
      <c r="K21" s="324"/>
      <c r="L21" s="324"/>
      <c r="M21" s="324"/>
      <c r="N21" s="324"/>
      <c r="O21" s="325"/>
      <c r="P21" s="323"/>
      <c r="Q21" s="324"/>
      <c r="R21" s="324"/>
      <c r="S21" s="324"/>
      <c r="T21" s="324"/>
      <c r="U21" s="325"/>
      <c r="V21" s="342"/>
      <c r="W21" s="343"/>
      <c r="X21" s="343"/>
      <c r="Y21" s="343"/>
      <c r="Z21" s="343"/>
      <c r="AA21" s="344"/>
      <c r="AB21" s="342"/>
      <c r="AC21" s="343"/>
      <c r="AD21" s="343"/>
      <c r="AE21" s="343"/>
      <c r="AF21" s="343"/>
      <c r="AG21" s="344"/>
      <c r="AH21" s="332"/>
      <c r="AI21" s="333"/>
      <c r="AJ21" s="333"/>
      <c r="AK21" s="333"/>
      <c r="AL21" s="333"/>
      <c r="AM21" s="334"/>
      <c r="AN21" s="70"/>
      <c r="AO21" s="377"/>
      <c r="AP21" s="378"/>
      <c r="AQ21" s="378"/>
      <c r="AR21" s="378"/>
      <c r="AS21" s="378"/>
      <c r="AT21" s="379"/>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row>
    <row r="22" spans="1:80" x14ac:dyDescent="0.25">
      <c r="A22" s="70"/>
      <c r="B22" s="360"/>
      <c r="C22" s="360"/>
      <c r="D22" s="361"/>
      <c r="E22" s="349" t="s">
        <v>117</v>
      </c>
      <c r="F22" s="350"/>
      <c r="G22" s="350"/>
      <c r="H22" s="350"/>
      <c r="I22" s="351"/>
      <c r="J22" s="326" t="str">
        <f>IF(AND('Mapa final'!$H$10="Media",'Mapa final'!$L$10="Leve"),CONCATENATE("R",'Mapa final'!$A$10),"")</f>
        <v/>
      </c>
      <c r="K22" s="327"/>
      <c r="L22" s="327" t="str">
        <f>IF(AND('Mapa final'!$H$16="Media",'Mapa final'!$L$16="Leve"),CONCATENATE("R",'Mapa final'!$A$16),"")</f>
        <v/>
      </c>
      <c r="M22" s="327"/>
      <c r="N22" s="327" t="str">
        <f>IF(AND('Mapa final'!$H$22="Media",'Mapa final'!$L$22="Leve"),CONCATENATE("R",'Mapa final'!$A$22),"")</f>
        <v/>
      </c>
      <c r="O22" s="328"/>
      <c r="P22" s="326" t="str">
        <f>IF(AND('Mapa final'!$H$10="Media",'Mapa final'!$L$10="Menor"),CONCATENATE("R",'Mapa final'!$A$10),"")</f>
        <v/>
      </c>
      <c r="Q22" s="327"/>
      <c r="R22" s="327" t="str">
        <f>IF(AND('Mapa final'!$H$16="Media",'Mapa final'!$L$16="Menor"),CONCATENATE("R",'Mapa final'!$A$16),"")</f>
        <v/>
      </c>
      <c r="S22" s="327"/>
      <c r="T22" s="327" t="str">
        <f>IF(AND('Mapa final'!$H$22="Media",'Mapa final'!$L$22="Menor"),CONCATENATE("R",'Mapa final'!$A$22),"")</f>
        <v/>
      </c>
      <c r="U22" s="328"/>
      <c r="V22" s="326" t="str">
        <f>IF(AND('Mapa final'!$H$10="Media",'Mapa final'!$L$10="Moderado"),CONCATENATE("R",'Mapa final'!$A$10),"")</f>
        <v/>
      </c>
      <c r="W22" s="327"/>
      <c r="X22" s="327" t="str">
        <f>IF(AND('Mapa final'!$H$16="Media",'Mapa final'!$L$16="Moderado"),CONCATENATE("R",'Mapa final'!$A$16),"")</f>
        <v/>
      </c>
      <c r="Y22" s="327"/>
      <c r="Z22" s="327" t="str">
        <f>IF(AND('Mapa final'!$H$22="Media",'Mapa final'!$L$22="Moderado"),CONCATENATE("R",'Mapa final'!$A$22),"")</f>
        <v/>
      </c>
      <c r="AA22" s="328"/>
      <c r="AB22" s="345" t="str">
        <f>IF(AND('Mapa final'!$H$10="Media",'Mapa final'!$L$10="Mayor"),CONCATENATE("R",'Mapa final'!$A$10),"")</f>
        <v/>
      </c>
      <c r="AC22" s="346"/>
      <c r="AD22" s="346" t="str">
        <f>IF(AND('Mapa final'!$H$16="Media",'Mapa final'!$L$16="Mayor"),CONCATENATE("R",'Mapa final'!$A$16),"")</f>
        <v/>
      </c>
      <c r="AE22" s="346"/>
      <c r="AF22" s="346" t="str">
        <f>IF(AND('Mapa final'!$H$22="Media",'Mapa final'!$L$22="Mayor"),CONCATENATE("R",'Mapa final'!$A$22),"")</f>
        <v/>
      </c>
      <c r="AG22" s="347"/>
      <c r="AH22" s="335" t="str">
        <f>IF(AND('Mapa final'!$H$10="Media",'Mapa final'!$L$10="Catastrófico"),CONCATENATE("R",'Mapa final'!$A$10),"")</f>
        <v/>
      </c>
      <c r="AI22" s="336"/>
      <c r="AJ22" s="336" t="str">
        <f>IF(AND('Mapa final'!$H$16="Media",'Mapa final'!$L$16="Catastrófico"),CONCATENATE("R",'Mapa final'!$A$16),"")</f>
        <v/>
      </c>
      <c r="AK22" s="336"/>
      <c r="AL22" s="336" t="str">
        <f>IF(AND('Mapa final'!$H$22="Media",'Mapa final'!$L$22="Catastrófico"),CONCATENATE("R",'Mapa final'!$A$22),"")</f>
        <v/>
      </c>
      <c r="AM22" s="337"/>
      <c r="AN22" s="70"/>
      <c r="AO22" s="380" t="s">
        <v>81</v>
      </c>
      <c r="AP22" s="381"/>
      <c r="AQ22" s="381"/>
      <c r="AR22" s="381"/>
      <c r="AS22" s="381"/>
      <c r="AT22" s="382"/>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row>
    <row r="23" spans="1:80" x14ac:dyDescent="0.25">
      <c r="A23" s="70"/>
      <c r="B23" s="360"/>
      <c r="C23" s="360"/>
      <c r="D23" s="361"/>
      <c r="E23" s="352"/>
      <c r="F23" s="353"/>
      <c r="G23" s="353"/>
      <c r="H23" s="353"/>
      <c r="I23" s="354"/>
      <c r="J23" s="320"/>
      <c r="K23" s="321"/>
      <c r="L23" s="321"/>
      <c r="M23" s="321"/>
      <c r="N23" s="321"/>
      <c r="O23" s="322"/>
      <c r="P23" s="320"/>
      <c r="Q23" s="321"/>
      <c r="R23" s="321"/>
      <c r="S23" s="321"/>
      <c r="T23" s="321"/>
      <c r="U23" s="322"/>
      <c r="V23" s="320"/>
      <c r="W23" s="321"/>
      <c r="X23" s="321"/>
      <c r="Y23" s="321"/>
      <c r="Z23" s="321"/>
      <c r="AA23" s="322"/>
      <c r="AB23" s="338"/>
      <c r="AC23" s="339"/>
      <c r="AD23" s="339"/>
      <c r="AE23" s="339"/>
      <c r="AF23" s="339"/>
      <c r="AG23" s="341"/>
      <c r="AH23" s="329"/>
      <c r="AI23" s="330"/>
      <c r="AJ23" s="330"/>
      <c r="AK23" s="330"/>
      <c r="AL23" s="330"/>
      <c r="AM23" s="331"/>
      <c r="AN23" s="70"/>
      <c r="AO23" s="383"/>
      <c r="AP23" s="384"/>
      <c r="AQ23" s="384"/>
      <c r="AR23" s="384"/>
      <c r="AS23" s="384"/>
      <c r="AT23" s="385"/>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row>
    <row r="24" spans="1:80" x14ac:dyDescent="0.25">
      <c r="A24" s="70"/>
      <c r="B24" s="360"/>
      <c r="C24" s="360"/>
      <c r="D24" s="361"/>
      <c r="E24" s="352"/>
      <c r="F24" s="353"/>
      <c r="G24" s="353"/>
      <c r="H24" s="353"/>
      <c r="I24" s="354"/>
      <c r="J24" s="320" t="str">
        <f>IF(AND('Mapa final'!$H$28="Media",'Mapa final'!$L$28="Leve"),CONCATENATE("R",'Mapa final'!$A$28),"")</f>
        <v/>
      </c>
      <c r="K24" s="321"/>
      <c r="L24" s="321" t="str">
        <f>IF(AND('Mapa final'!$H$34="Media",'Mapa final'!$L$34="Leve"),CONCATENATE("R",'Mapa final'!$A$34),"")</f>
        <v/>
      </c>
      <c r="M24" s="321"/>
      <c r="N24" s="321" t="str">
        <f>IF(AND('Mapa final'!$H$40="Media",'Mapa final'!$L$40="Leve"),CONCATENATE("R",'Mapa final'!$A$40),"")</f>
        <v/>
      </c>
      <c r="O24" s="322"/>
      <c r="P24" s="320" t="str">
        <f>IF(AND('Mapa final'!$H$28="Media",'Mapa final'!$L$28="Menor"),CONCATENATE("R",'Mapa final'!$A$28),"")</f>
        <v/>
      </c>
      <c r="Q24" s="321"/>
      <c r="R24" s="321" t="str">
        <f>IF(AND('Mapa final'!$H$34="Media",'Mapa final'!$L$34="Menor"),CONCATENATE("R",'Mapa final'!$A$34),"")</f>
        <v/>
      </c>
      <c r="S24" s="321"/>
      <c r="T24" s="321" t="str">
        <f>IF(AND('Mapa final'!$H$40="Media",'Mapa final'!$L$40="Menor"),CONCATENATE("R",'Mapa final'!$A$40),"")</f>
        <v/>
      </c>
      <c r="U24" s="322"/>
      <c r="V24" s="320" t="str">
        <f>IF(AND('Mapa final'!$H$28="Media",'Mapa final'!$L$28="Moderado"),CONCATENATE("R",'Mapa final'!$A$28),"")</f>
        <v/>
      </c>
      <c r="W24" s="321"/>
      <c r="X24" s="321" t="str">
        <f>IF(AND('Mapa final'!$H$34="Media",'Mapa final'!$L$34="Moderado"),CONCATENATE("R",'Mapa final'!$A$34),"")</f>
        <v/>
      </c>
      <c r="Y24" s="321"/>
      <c r="Z24" s="321" t="str">
        <f>IF(AND('Mapa final'!$H$40="Media",'Mapa final'!$L$40="Moderado"),CONCATENATE("R",'Mapa final'!$A$40),"")</f>
        <v/>
      </c>
      <c r="AA24" s="322"/>
      <c r="AB24" s="338" t="str">
        <f>IF(AND('Mapa final'!$H$28="Media",'Mapa final'!$L$28="Mayor"),CONCATENATE("R",'Mapa final'!$A$28),"")</f>
        <v/>
      </c>
      <c r="AC24" s="339"/>
      <c r="AD24" s="340" t="str">
        <f>IF(AND('Mapa final'!$H$34="Media",'Mapa final'!$L$34="Mayor"),CONCATENATE("R",'Mapa final'!$A$34),"")</f>
        <v/>
      </c>
      <c r="AE24" s="340"/>
      <c r="AF24" s="340" t="str">
        <f>IF(AND('Mapa final'!$H$40="Media",'Mapa final'!$L$40="Mayor"),CONCATENATE("R",'Mapa final'!$A$40),"")</f>
        <v/>
      </c>
      <c r="AG24" s="341"/>
      <c r="AH24" s="329" t="str">
        <f>IF(AND('Mapa final'!$H$28="Media",'Mapa final'!$L$28="Catastrófico"),CONCATENATE("R",'Mapa final'!$A$28),"")</f>
        <v/>
      </c>
      <c r="AI24" s="330"/>
      <c r="AJ24" s="330" t="str">
        <f>IF(AND('Mapa final'!$H$34="Media",'Mapa final'!$L$34="Catastrófico"),CONCATENATE("R",'Mapa final'!$A$34),"")</f>
        <v/>
      </c>
      <c r="AK24" s="330"/>
      <c r="AL24" s="330" t="str">
        <f>IF(AND('Mapa final'!$H$40="Media",'Mapa final'!$L$40="Catastrófico"),CONCATENATE("R",'Mapa final'!$A$40),"")</f>
        <v/>
      </c>
      <c r="AM24" s="331"/>
      <c r="AN24" s="70"/>
      <c r="AO24" s="383"/>
      <c r="AP24" s="384"/>
      <c r="AQ24" s="384"/>
      <c r="AR24" s="384"/>
      <c r="AS24" s="384"/>
      <c r="AT24" s="385"/>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row>
    <row r="25" spans="1:80" x14ac:dyDescent="0.25">
      <c r="A25" s="70"/>
      <c r="B25" s="360"/>
      <c r="C25" s="360"/>
      <c r="D25" s="361"/>
      <c r="E25" s="352"/>
      <c r="F25" s="353"/>
      <c r="G25" s="353"/>
      <c r="H25" s="353"/>
      <c r="I25" s="354"/>
      <c r="J25" s="320"/>
      <c r="K25" s="321"/>
      <c r="L25" s="321"/>
      <c r="M25" s="321"/>
      <c r="N25" s="321"/>
      <c r="O25" s="322"/>
      <c r="P25" s="320"/>
      <c r="Q25" s="321"/>
      <c r="R25" s="321"/>
      <c r="S25" s="321"/>
      <c r="T25" s="321"/>
      <c r="U25" s="322"/>
      <c r="V25" s="320"/>
      <c r="W25" s="321"/>
      <c r="X25" s="321"/>
      <c r="Y25" s="321"/>
      <c r="Z25" s="321"/>
      <c r="AA25" s="322"/>
      <c r="AB25" s="338"/>
      <c r="AC25" s="339"/>
      <c r="AD25" s="340"/>
      <c r="AE25" s="340"/>
      <c r="AF25" s="340"/>
      <c r="AG25" s="341"/>
      <c r="AH25" s="329"/>
      <c r="AI25" s="330"/>
      <c r="AJ25" s="330"/>
      <c r="AK25" s="330"/>
      <c r="AL25" s="330"/>
      <c r="AM25" s="331"/>
      <c r="AN25" s="70"/>
      <c r="AO25" s="383"/>
      <c r="AP25" s="384"/>
      <c r="AQ25" s="384"/>
      <c r="AR25" s="384"/>
      <c r="AS25" s="384"/>
      <c r="AT25" s="385"/>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row>
    <row r="26" spans="1:80" x14ac:dyDescent="0.25">
      <c r="A26" s="70"/>
      <c r="B26" s="360"/>
      <c r="C26" s="360"/>
      <c r="D26" s="361"/>
      <c r="E26" s="352"/>
      <c r="F26" s="353"/>
      <c r="G26" s="353"/>
      <c r="H26" s="353"/>
      <c r="I26" s="354"/>
      <c r="J26" s="320" t="str">
        <f>IF(AND('Mapa final'!$H$46="Media",'Mapa final'!$L$46="Leve"),CONCATENATE("R",'Mapa final'!$A$46),"")</f>
        <v/>
      </c>
      <c r="K26" s="321"/>
      <c r="L26" s="321" t="str">
        <f>IF(AND('Mapa final'!$H$52="Media",'Mapa final'!$L$52="Leve"),CONCATENATE("R",'Mapa final'!$A$52),"")</f>
        <v/>
      </c>
      <c r="M26" s="321"/>
      <c r="N26" s="321" t="str">
        <f>IF(AND('Mapa final'!$H$58="Media",'Mapa final'!$L$58="Leve"),CONCATENATE("R",'Mapa final'!$A$58),"")</f>
        <v/>
      </c>
      <c r="O26" s="322"/>
      <c r="P26" s="320" t="str">
        <f>IF(AND('Mapa final'!$H$46="Media",'Mapa final'!$L$46="Menor"),CONCATENATE("R",'Mapa final'!$A$46),"")</f>
        <v/>
      </c>
      <c r="Q26" s="321"/>
      <c r="R26" s="321" t="str">
        <f>IF(AND('Mapa final'!$H$52="Media",'Mapa final'!$L$52="Menor"),CONCATENATE("R",'Mapa final'!$A$52),"")</f>
        <v/>
      </c>
      <c r="S26" s="321"/>
      <c r="T26" s="321" t="str">
        <f>IF(AND('Mapa final'!$H$58="Media",'Mapa final'!$L$58="Menor"),CONCATENATE("R",'Mapa final'!$A$58),"")</f>
        <v/>
      </c>
      <c r="U26" s="322"/>
      <c r="V26" s="320" t="str">
        <f>IF(AND('Mapa final'!$H$46="Media",'Mapa final'!$L$46="Moderado"),CONCATENATE("R",'Mapa final'!$A$46),"")</f>
        <v/>
      </c>
      <c r="W26" s="321"/>
      <c r="X26" s="321" t="str">
        <f>IF(AND('Mapa final'!$H$52="Media",'Mapa final'!$L$52="Moderado"),CONCATENATE("R",'Mapa final'!$A$52),"")</f>
        <v/>
      </c>
      <c r="Y26" s="321"/>
      <c r="Z26" s="321" t="str">
        <f>IF(AND('Mapa final'!$H$58="Media",'Mapa final'!$L$58="Moderado"),CONCATENATE("R",'Mapa final'!$A$58),"")</f>
        <v/>
      </c>
      <c r="AA26" s="322"/>
      <c r="AB26" s="338" t="str">
        <f>IF(AND('Mapa final'!$H$46="Media",'Mapa final'!$L$46="Mayor"),CONCATENATE("R",'Mapa final'!$A$46),"")</f>
        <v/>
      </c>
      <c r="AC26" s="339"/>
      <c r="AD26" s="340" t="str">
        <f>IF(AND('Mapa final'!$H$52="Media",'Mapa final'!$L$52="Mayor"),CONCATENATE("R",'Mapa final'!$A$52),"")</f>
        <v/>
      </c>
      <c r="AE26" s="340"/>
      <c r="AF26" s="340" t="str">
        <f>IF(AND('Mapa final'!$H$58="Media",'Mapa final'!$L$58="Mayor"),CONCATENATE("R",'Mapa final'!$A$58),"")</f>
        <v/>
      </c>
      <c r="AG26" s="341"/>
      <c r="AH26" s="329" t="str">
        <f>IF(AND('Mapa final'!$H$46="Media",'Mapa final'!$L$46="Catastrófico"),CONCATENATE("R",'Mapa final'!$A$46),"")</f>
        <v/>
      </c>
      <c r="AI26" s="330"/>
      <c r="AJ26" s="330" t="str">
        <f>IF(AND('Mapa final'!$H$52="Media",'Mapa final'!$L$52="Catastrófico"),CONCATENATE("R",'Mapa final'!$A$52),"")</f>
        <v/>
      </c>
      <c r="AK26" s="330"/>
      <c r="AL26" s="330" t="str">
        <f>IF(AND('Mapa final'!$H$58="Media",'Mapa final'!$L$58="Catastrófico"),CONCATENATE("R",'Mapa final'!$A$58),"")</f>
        <v/>
      </c>
      <c r="AM26" s="331"/>
      <c r="AN26" s="70"/>
      <c r="AO26" s="383"/>
      <c r="AP26" s="384"/>
      <c r="AQ26" s="384"/>
      <c r="AR26" s="384"/>
      <c r="AS26" s="384"/>
      <c r="AT26" s="385"/>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row>
    <row r="27" spans="1:80" x14ac:dyDescent="0.25">
      <c r="A27" s="70"/>
      <c r="B27" s="360"/>
      <c r="C27" s="360"/>
      <c r="D27" s="361"/>
      <c r="E27" s="352"/>
      <c r="F27" s="353"/>
      <c r="G27" s="353"/>
      <c r="H27" s="353"/>
      <c r="I27" s="354"/>
      <c r="J27" s="320"/>
      <c r="K27" s="321"/>
      <c r="L27" s="321"/>
      <c r="M27" s="321"/>
      <c r="N27" s="321"/>
      <c r="O27" s="322"/>
      <c r="P27" s="320"/>
      <c r="Q27" s="321"/>
      <c r="R27" s="321"/>
      <c r="S27" s="321"/>
      <c r="T27" s="321"/>
      <c r="U27" s="322"/>
      <c r="V27" s="320"/>
      <c r="W27" s="321"/>
      <c r="X27" s="321"/>
      <c r="Y27" s="321"/>
      <c r="Z27" s="321"/>
      <c r="AA27" s="322"/>
      <c r="AB27" s="338"/>
      <c r="AC27" s="339"/>
      <c r="AD27" s="340"/>
      <c r="AE27" s="340"/>
      <c r="AF27" s="340"/>
      <c r="AG27" s="341"/>
      <c r="AH27" s="329"/>
      <c r="AI27" s="330"/>
      <c r="AJ27" s="330"/>
      <c r="AK27" s="330"/>
      <c r="AL27" s="330"/>
      <c r="AM27" s="331"/>
      <c r="AN27" s="70"/>
      <c r="AO27" s="383"/>
      <c r="AP27" s="384"/>
      <c r="AQ27" s="384"/>
      <c r="AR27" s="384"/>
      <c r="AS27" s="384"/>
      <c r="AT27" s="385"/>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row>
    <row r="28" spans="1:80" x14ac:dyDescent="0.25">
      <c r="A28" s="70"/>
      <c r="B28" s="360"/>
      <c r="C28" s="360"/>
      <c r="D28" s="361"/>
      <c r="E28" s="352"/>
      <c r="F28" s="353"/>
      <c r="G28" s="353"/>
      <c r="H28" s="353"/>
      <c r="I28" s="354"/>
      <c r="J28" s="320" t="str">
        <f>IF(AND('Mapa final'!$H$64="Media",'Mapa final'!$L$64="Leve"),CONCATENATE("R",'Mapa final'!$A$64),"")</f>
        <v/>
      </c>
      <c r="K28" s="321"/>
      <c r="L28" s="321" t="str">
        <f>IF(AND('Mapa final'!$H$70="Media",'Mapa final'!$L$70="Leve"),CONCATENATE("R",'Mapa final'!$A$70),"")</f>
        <v/>
      </c>
      <c r="M28" s="321"/>
      <c r="N28" s="321" t="e">
        <f>IF(AND('Mapa final'!#REF!="Media",'Mapa final'!#REF!="Leve"),CONCATENATE("R",'Mapa final'!#REF!),"")</f>
        <v>#REF!</v>
      </c>
      <c r="O28" s="322"/>
      <c r="P28" s="320" t="str">
        <f>IF(AND('Mapa final'!$H$64="Media",'Mapa final'!$L$64="Menor"),CONCATENATE("R",'Mapa final'!$A$64),"")</f>
        <v/>
      </c>
      <c r="Q28" s="321"/>
      <c r="R28" s="321" t="str">
        <f>IF(AND('Mapa final'!$H$70="Media",'Mapa final'!$L$70="Menor"),CONCATENATE("R",'Mapa final'!$A$70),"")</f>
        <v/>
      </c>
      <c r="S28" s="321"/>
      <c r="T28" s="321" t="e">
        <f>IF(AND('Mapa final'!#REF!="Media",'Mapa final'!#REF!="Menor"),CONCATENATE("R",'Mapa final'!#REF!),"")</f>
        <v>#REF!</v>
      </c>
      <c r="U28" s="322"/>
      <c r="V28" s="320" t="str">
        <f>IF(AND('Mapa final'!$H$64="Media",'Mapa final'!$L$64="Moderado"),CONCATENATE("R",'Mapa final'!$A$64),"")</f>
        <v/>
      </c>
      <c r="W28" s="321"/>
      <c r="X28" s="321" t="str">
        <f>IF(AND('Mapa final'!$H$70="Media",'Mapa final'!$L$70="Moderado"),CONCATENATE("R",'Mapa final'!$A$70),"")</f>
        <v/>
      </c>
      <c r="Y28" s="321"/>
      <c r="Z28" s="321" t="e">
        <f>IF(AND('Mapa final'!#REF!="Media",'Mapa final'!#REF!="Moderado"),CONCATENATE("R",'Mapa final'!#REF!),"")</f>
        <v>#REF!</v>
      </c>
      <c r="AA28" s="322"/>
      <c r="AB28" s="338" t="str">
        <f>IF(AND('Mapa final'!$H$64="Media",'Mapa final'!$L$64="Mayor"),CONCATENATE("R",'Mapa final'!$A$64),"")</f>
        <v/>
      </c>
      <c r="AC28" s="339"/>
      <c r="AD28" s="340" t="str">
        <f>IF(AND('Mapa final'!$H$70="Media",'Mapa final'!$L$70="Mayor"),CONCATENATE("R",'Mapa final'!$A$70),"")</f>
        <v/>
      </c>
      <c r="AE28" s="340"/>
      <c r="AF28" s="340" t="e">
        <f>IF(AND('Mapa final'!#REF!="Media",'Mapa final'!#REF!="Mayor"),CONCATENATE("R",'Mapa final'!#REF!),"")</f>
        <v>#REF!</v>
      </c>
      <c r="AG28" s="341"/>
      <c r="AH28" s="329" t="str">
        <f>IF(AND('Mapa final'!$H$64="Media",'Mapa final'!$L$64="Catastrófico"),CONCATENATE("R",'Mapa final'!$A$64),"")</f>
        <v/>
      </c>
      <c r="AI28" s="330"/>
      <c r="AJ28" s="330" t="str">
        <f>IF(AND('Mapa final'!$H$70="Media",'Mapa final'!$L$70="Catastrófico"),CONCATENATE("R",'Mapa final'!$A$70),"")</f>
        <v/>
      </c>
      <c r="AK28" s="330"/>
      <c r="AL28" s="330" t="e">
        <f>IF(AND('Mapa final'!#REF!="Media",'Mapa final'!#REF!="Catastrófico"),CONCATENATE("R",'Mapa final'!#REF!),"")</f>
        <v>#REF!</v>
      </c>
      <c r="AM28" s="331"/>
      <c r="AN28" s="70"/>
      <c r="AO28" s="383"/>
      <c r="AP28" s="384"/>
      <c r="AQ28" s="384"/>
      <c r="AR28" s="384"/>
      <c r="AS28" s="384"/>
      <c r="AT28" s="385"/>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row>
    <row r="29" spans="1:80" ht="15.75" thickBot="1" x14ac:dyDescent="0.3">
      <c r="A29" s="70"/>
      <c r="B29" s="360"/>
      <c r="C29" s="360"/>
      <c r="D29" s="361"/>
      <c r="E29" s="355"/>
      <c r="F29" s="356"/>
      <c r="G29" s="356"/>
      <c r="H29" s="356"/>
      <c r="I29" s="357"/>
      <c r="J29" s="320"/>
      <c r="K29" s="321"/>
      <c r="L29" s="321"/>
      <c r="M29" s="321"/>
      <c r="N29" s="321"/>
      <c r="O29" s="322"/>
      <c r="P29" s="323"/>
      <c r="Q29" s="324"/>
      <c r="R29" s="324"/>
      <c r="S29" s="324"/>
      <c r="T29" s="324"/>
      <c r="U29" s="325"/>
      <c r="V29" s="323"/>
      <c r="W29" s="324"/>
      <c r="X29" s="324"/>
      <c r="Y29" s="324"/>
      <c r="Z29" s="324"/>
      <c r="AA29" s="325"/>
      <c r="AB29" s="342"/>
      <c r="AC29" s="343"/>
      <c r="AD29" s="343"/>
      <c r="AE29" s="343"/>
      <c r="AF29" s="343"/>
      <c r="AG29" s="344"/>
      <c r="AH29" s="332"/>
      <c r="AI29" s="333"/>
      <c r="AJ29" s="333"/>
      <c r="AK29" s="333"/>
      <c r="AL29" s="333"/>
      <c r="AM29" s="334"/>
      <c r="AN29" s="70"/>
      <c r="AO29" s="386"/>
      <c r="AP29" s="387"/>
      <c r="AQ29" s="387"/>
      <c r="AR29" s="387"/>
      <c r="AS29" s="387"/>
      <c r="AT29" s="388"/>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row>
    <row r="30" spans="1:80" x14ac:dyDescent="0.25">
      <c r="A30" s="70"/>
      <c r="B30" s="360"/>
      <c r="C30" s="360"/>
      <c r="D30" s="361"/>
      <c r="E30" s="349" t="s">
        <v>114</v>
      </c>
      <c r="F30" s="350"/>
      <c r="G30" s="350"/>
      <c r="H30" s="350"/>
      <c r="I30" s="350"/>
      <c r="J30" s="317" t="str">
        <f>IF(AND('Mapa final'!$H$10="Baja",'Mapa final'!$L$10="Leve"),CONCATENATE("R",'Mapa final'!$A$10),"")</f>
        <v/>
      </c>
      <c r="K30" s="318"/>
      <c r="L30" s="318" t="str">
        <f>IF(AND('Mapa final'!$H$16="Baja",'Mapa final'!$L$16="Leve"),CONCATENATE("R",'Mapa final'!$A$16),"")</f>
        <v/>
      </c>
      <c r="M30" s="318"/>
      <c r="N30" s="318" t="str">
        <f>IF(AND('Mapa final'!$H$22="Baja",'Mapa final'!$L$22="Leve"),CONCATENATE("R",'Mapa final'!$A$22),"")</f>
        <v/>
      </c>
      <c r="O30" s="319"/>
      <c r="P30" s="327" t="str">
        <f>IF(AND('Mapa final'!$H$10="Baja",'Mapa final'!$L$10="Menor"),CONCATENATE("R",'Mapa final'!$A$10),"")</f>
        <v>R18</v>
      </c>
      <c r="Q30" s="327"/>
      <c r="R30" s="327" t="str">
        <f>IF(AND('Mapa final'!$H$16="Baja",'Mapa final'!$L$16="Menor"),CONCATENATE("R",'Mapa final'!$A$16),"")</f>
        <v>R19</v>
      </c>
      <c r="S30" s="327"/>
      <c r="T30" s="327" t="str">
        <f>IF(AND('Mapa final'!$H$22="Baja",'Mapa final'!$L$22="Menor"),CONCATENATE("R",'Mapa final'!$A$22),"")</f>
        <v/>
      </c>
      <c r="U30" s="328"/>
      <c r="V30" s="326" t="str">
        <f>IF(AND('Mapa final'!$H$10="Baja",'Mapa final'!$L$10="Moderado"),CONCATENATE("R",'Mapa final'!$A$10),"")</f>
        <v/>
      </c>
      <c r="W30" s="327"/>
      <c r="X30" s="327" t="str">
        <f>IF(AND('Mapa final'!$H$16="Baja",'Mapa final'!$L$16="Moderado"),CONCATENATE("R",'Mapa final'!$A$16),"")</f>
        <v/>
      </c>
      <c r="Y30" s="327"/>
      <c r="Z30" s="327" t="str">
        <f>IF(AND('Mapa final'!$H$22="Baja",'Mapa final'!$L$22="Moderado"),CONCATENATE("R",'Mapa final'!$A$22),"")</f>
        <v/>
      </c>
      <c r="AA30" s="328"/>
      <c r="AB30" s="345" t="str">
        <f>IF(AND('Mapa final'!$H$10="Baja",'Mapa final'!$L$10="Mayor"),CONCATENATE("R",'Mapa final'!$A$10),"")</f>
        <v/>
      </c>
      <c r="AC30" s="346"/>
      <c r="AD30" s="346" t="str">
        <f>IF(AND('Mapa final'!$H$16="Baja",'Mapa final'!$L$16="Mayor"),CONCATENATE("R",'Mapa final'!$A$16),"")</f>
        <v/>
      </c>
      <c r="AE30" s="346"/>
      <c r="AF30" s="346" t="str">
        <f>IF(AND('Mapa final'!$H$22="Baja",'Mapa final'!$L$22="Mayor"),CONCATENATE("R",'Mapa final'!$A$22),"")</f>
        <v/>
      </c>
      <c r="AG30" s="347"/>
      <c r="AH30" s="335" t="str">
        <f>IF(AND('Mapa final'!$H$10="Baja",'Mapa final'!$L$10="Catastrófico"),CONCATENATE("R",'Mapa final'!$A$10),"")</f>
        <v/>
      </c>
      <c r="AI30" s="336"/>
      <c r="AJ30" s="336" t="str">
        <f>IF(AND('Mapa final'!$H$16="Baja",'Mapa final'!$L$16="Catastrófico"),CONCATENATE("R",'Mapa final'!$A$16),"")</f>
        <v/>
      </c>
      <c r="AK30" s="336"/>
      <c r="AL30" s="336" t="str">
        <f>IF(AND('Mapa final'!$H$22="Baja",'Mapa final'!$L$22="Catastrófico"),CONCATENATE("R",'Mapa final'!$A$22),"")</f>
        <v/>
      </c>
      <c r="AM30" s="337"/>
      <c r="AN30" s="70"/>
      <c r="AO30" s="389" t="s">
        <v>82</v>
      </c>
      <c r="AP30" s="390"/>
      <c r="AQ30" s="390"/>
      <c r="AR30" s="390"/>
      <c r="AS30" s="390"/>
      <c r="AT30" s="391"/>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row>
    <row r="31" spans="1:80" x14ac:dyDescent="0.25">
      <c r="A31" s="70"/>
      <c r="B31" s="360"/>
      <c r="C31" s="360"/>
      <c r="D31" s="361"/>
      <c r="E31" s="352"/>
      <c r="F31" s="353"/>
      <c r="G31" s="353"/>
      <c r="H31" s="353"/>
      <c r="I31" s="358"/>
      <c r="J31" s="311"/>
      <c r="K31" s="312"/>
      <c r="L31" s="312"/>
      <c r="M31" s="312"/>
      <c r="N31" s="312"/>
      <c r="O31" s="313"/>
      <c r="P31" s="321"/>
      <c r="Q31" s="321"/>
      <c r="R31" s="321"/>
      <c r="S31" s="321"/>
      <c r="T31" s="321"/>
      <c r="U31" s="322"/>
      <c r="V31" s="320"/>
      <c r="W31" s="321"/>
      <c r="X31" s="321"/>
      <c r="Y31" s="321"/>
      <c r="Z31" s="321"/>
      <c r="AA31" s="322"/>
      <c r="AB31" s="338"/>
      <c r="AC31" s="339"/>
      <c r="AD31" s="339"/>
      <c r="AE31" s="339"/>
      <c r="AF31" s="339"/>
      <c r="AG31" s="341"/>
      <c r="AH31" s="329"/>
      <c r="AI31" s="330"/>
      <c r="AJ31" s="330"/>
      <c r="AK31" s="330"/>
      <c r="AL31" s="330"/>
      <c r="AM31" s="331"/>
      <c r="AN31" s="70"/>
      <c r="AO31" s="392"/>
      <c r="AP31" s="393"/>
      <c r="AQ31" s="393"/>
      <c r="AR31" s="393"/>
      <c r="AS31" s="393"/>
      <c r="AT31" s="394"/>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row>
    <row r="32" spans="1:80" x14ac:dyDescent="0.25">
      <c r="A32" s="70"/>
      <c r="B32" s="360"/>
      <c r="C32" s="360"/>
      <c r="D32" s="361"/>
      <c r="E32" s="352"/>
      <c r="F32" s="353"/>
      <c r="G32" s="353"/>
      <c r="H32" s="353"/>
      <c r="I32" s="358"/>
      <c r="J32" s="311" t="str">
        <f>IF(AND('Mapa final'!$H$28="Baja",'Mapa final'!$L$28="Leve"),CONCATENATE("R",'Mapa final'!$A$28),"")</f>
        <v/>
      </c>
      <c r="K32" s="312"/>
      <c r="L32" s="312" t="str">
        <f>IF(AND('Mapa final'!$H$34="Baja",'Mapa final'!$L$34="Leve"),CONCATENATE("R",'Mapa final'!$A$34),"")</f>
        <v/>
      </c>
      <c r="M32" s="312"/>
      <c r="N32" s="312" t="str">
        <f>IF(AND('Mapa final'!$H$40="Baja",'Mapa final'!$L$40="Leve"),CONCATENATE("R",'Mapa final'!$A$40),"")</f>
        <v/>
      </c>
      <c r="O32" s="313"/>
      <c r="P32" s="321" t="str">
        <f>IF(AND('Mapa final'!$H$28="Baja",'Mapa final'!$L$28="Menor"),CONCATENATE("R",'Mapa final'!$A$28),"")</f>
        <v/>
      </c>
      <c r="Q32" s="321"/>
      <c r="R32" s="321" t="str">
        <f>IF(AND('Mapa final'!$H$34="Baja",'Mapa final'!$L$34="Menor"),CONCATENATE("R",'Mapa final'!$A$34),"")</f>
        <v/>
      </c>
      <c r="S32" s="321"/>
      <c r="T32" s="321" t="str">
        <f>IF(AND('Mapa final'!$H$40="Baja",'Mapa final'!$L$40="Menor"),CONCATENATE("R",'Mapa final'!$A$40),"")</f>
        <v/>
      </c>
      <c r="U32" s="322"/>
      <c r="V32" s="320" t="str">
        <f>IF(AND('Mapa final'!$H$28="Baja",'Mapa final'!$L$28="Moderado"),CONCATENATE("R",'Mapa final'!$A$28),"")</f>
        <v/>
      </c>
      <c r="W32" s="321"/>
      <c r="X32" s="321" t="str">
        <f>IF(AND('Mapa final'!$H$34="Baja",'Mapa final'!$L$34="Moderado"),CONCATENATE("R",'Mapa final'!$A$34),"")</f>
        <v/>
      </c>
      <c r="Y32" s="321"/>
      <c r="Z32" s="321" t="str">
        <f>IF(AND('Mapa final'!$H$40="Baja",'Mapa final'!$L$40="Moderado"),CONCATENATE("R",'Mapa final'!$A$40),"")</f>
        <v/>
      </c>
      <c r="AA32" s="322"/>
      <c r="AB32" s="338" t="str">
        <f>IF(AND('Mapa final'!$H$28="Baja",'Mapa final'!$L$28="Mayor"),CONCATENATE("R",'Mapa final'!$A$28),"")</f>
        <v/>
      </c>
      <c r="AC32" s="339"/>
      <c r="AD32" s="340" t="str">
        <f>IF(AND('Mapa final'!$H$34="Baja",'Mapa final'!$L$34="Mayor"),CONCATENATE("R",'Mapa final'!$A$34),"")</f>
        <v/>
      </c>
      <c r="AE32" s="340"/>
      <c r="AF32" s="340" t="str">
        <f>IF(AND('Mapa final'!$H$40="Baja",'Mapa final'!$L$40="Mayor"),CONCATENATE("R",'Mapa final'!$A$40),"")</f>
        <v/>
      </c>
      <c r="AG32" s="341"/>
      <c r="AH32" s="329" t="str">
        <f>IF(AND('Mapa final'!$H$28="Baja",'Mapa final'!$L$28="Catastrófico"),CONCATENATE("R",'Mapa final'!$A$28),"")</f>
        <v/>
      </c>
      <c r="AI32" s="330"/>
      <c r="AJ32" s="330" t="str">
        <f>IF(AND('Mapa final'!$H$34="Baja",'Mapa final'!$L$34="Catastrófico"),CONCATENATE("R",'Mapa final'!$A$34),"")</f>
        <v/>
      </c>
      <c r="AK32" s="330"/>
      <c r="AL32" s="330" t="str">
        <f>IF(AND('Mapa final'!$H$40="Baja",'Mapa final'!$L$40="Catastrófico"),CONCATENATE("R",'Mapa final'!$A$40),"")</f>
        <v/>
      </c>
      <c r="AM32" s="331"/>
      <c r="AN32" s="70"/>
      <c r="AO32" s="392"/>
      <c r="AP32" s="393"/>
      <c r="AQ32" s="393"/>
      <c r="AR32" s="393"/>
      <c r="AS32" s="393"/>
      <c r="AT32" s="394"/>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row>
    <row r="33" spans="1:80" x14ac:dyDescent="0.25">
      <c r="A33" s="70"/>
      <c r="B33" s="360"/>
      <c r="C33" s="360"/>
      <c r="D33" s="361"/>
      <c r="E33" s="352"/>
      <c r="F33" s="353"/>
      <c r="G33" s="353"/>
      <c r="H33" s="353"/>
      <c r="I33" s="358"/>
      <c r="J33" s="311"/>
      <c r="K33" s="312"/>
      <c r="L33" s="312"/>
      <c r="M33" s="312"/>
      <c r="N33" s="312"/>
      <c r="O33" s="313"/>
      <c r="P33" s="321"/>
      <c r="Q33" s="321"/>
      <c r="R33" s="321"/>
      <c r="S33" s="321"/>
      <c r="T33" s="321"/>
      <c r="U33" s="322"/>
      <c r="V33" s="320"/>
      <c r="W33" s="321"/>
      <c r="X33" s="321"/>
      <c r="Y33" s="321"/>
      <c r="Z33" s="321"/>
      <c r="AA33" s="322"/>
      <c r="AB33" s="338"/>
      <c r="AC33" s="339"/>
      <c r="AD33" s="340"/>
      <c r="AE33" s="340"/>
      <c r="AF33" s="340"/>
      <c r="AG33" s="341"/>
      <c r="AH33" s="329"/>
      <c r="AI33" s="330"/>
      <c r="AJ33" s="330"/>
      <c r="AK33" s="330"/>
      <c r="AL33" s="330"/>
      <c r="AM33" s="331"/>
      <c r="AN33" s="70"/>
      <c r="AO33" s="392"/>
      <c r="AP33" s="393"/>
      <c r="AQ33" s="393"/>
      <c r="AR33" s="393"/>
      <c r="AS33" s="393"/>
      <c r="AT33" s="394"/>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row>
    <row r="34" spans="1:80" x14ac:dyDescent="0.25">
      <c r="A34" s="70"/>
      <c r="B34" s="360"/>
      <c r="C34" s="360"/>
      <c r="D34" s="361"/>
      <c r="E34" s="352"/>
      <c r="F34" s="353"/>
      <c r="G34" s="353"/>
      <c r="H34" s="353"/>
      <c r="I34" s="358"/>
      <c r="J34" s="311" t="str">
        <f>IF(AND('Mapa final'!$H$46="Baja",'Mapa final'!$L$46="Leve"),CONCATENATE("R",'Mapa final'!$A$46),"")</f>
        <v/>
      </c>
      <c r="K34" s="312"/>
      <c r="L34" s="312" t="str">
        <f>IF(AND('Mapa final'!$H$52="Baja",'Mapa final'!$L$52="Leve"),CONCATENATE("R",'Mapa final'!$A$52),"")</f>
        <v/>
      </c>
      <c r="M34" s="312"/>
      <c r="N34" s="312" t="str">
        <f>IF(AND('Mapa final'!$H$58="Baja",'Mapa final'!$L$58="Leve"),CONCATENATE("R",'Mapa final'!$A$58),"")</f>
        <v/>
      </c>
      <c r="O34" s="313"/>
      <c r="P34" s="321" t="str">
        <f>IF(AND('Mapa final'!$H$46="Baja",'Mapa final'!$L$46="Menor"),CONCATENATE("R",'Mapa final'!$A$46),"")</f>
        <v/>
      </c>
      <c r="Q34" s="321"/>
      <c r="R34" s="321" t="str">
        <f>IF(AND('Mapa final'!$H$52="Baja",'Mapa final'!$L$52="Menor"),CONCATENATE("R",'Mapa final'!$A$52),"")</f>
        <v/>
      </c>
      <c r="S34" s="321"/>
      <c r="T34" s="321" t="str">
        <f>IF(AND('Mapa final'!$H$58="Baja",'Mapa final'!$L$58="Menor"),CONCATENATE("R",'Mapa final'!$A$58),"")</f>
        <v/>
      </c>
      <c r="U34" s="322"/>
      <c r="V34" s="320" t="str">
        <f>IF(AND('Mapa final'!$H$46="Baja",'Mapa final'!$L$46="Moderado"),CONCATENATE("R",'Mapa final'!$A$46),"")</f>
        <v/>
      </c>
      <c r="W34" s="321"/>
      <c r="X34" s="321" t="str">
        <f>IF(AND('Mapa final'!$H$52="Baja",'Mapa final'!$L$52="Moderado"),CONCATENATE("R",'Mapa final'!$A$52),"")</f>
        <v/>
      </c>
      <c r="Y34" s="321"/>
      <c r="Z34" s="321" t="str">
        <f>IF(AND('Mapa final'!$H$58="Baja",'Mapa final'!$L$58="Moderado"),CONCATENATE("R",'Mapa final'!$A$58),"")</f>
        <v/>
      </c>
      <c r="AA34" s="322"/>
      <c r="AB34" s="338" t="str">
        <f>IF(AND('Mapa final'!$H$46="Baja",'Mapa final'!$L$46="Mayor"),CONCATENATE("R",'Mapa final'!$A$46),"")</f>
        <v/>
      </c>
      <c r="AC34" s="339"/>
      <c r="AD34" s="340" t="str">
        <f>IF(AND('Mapa final'!$H$52="Baja",'Mapa final'!$L$52="Mayor"),CONCATENATE("R",'Mapa final'!$A$52),"")</f>
        <v/>
      </c>
      <c r="AE34" s="340"/>
      <c r="AF34" s="340" t="str">
        <f>IF(AND('Mapa final'!$H$58="Baja",'Mapa final'!$L$58="Mayor"),CONCATENATE("R",'Mapa final'!$A$58),"")</f>
        <v/>
      </c>
      <c r="AG34" s="341"/>
      <c r="AH34" s="329" t="str">
        <f>IF(AND('Mapa final'!$H$46="Baja",'Mapa final'!$L$46="Catastrófico"),CONCATENATE("R",'Mapa final'!$A$46),"")</f>
        <v/>
      </c>
      <c r="AI34" s="330"/>
      <c r="AJ34" s="330" t="str">
        <f>IF(AND('Mapa final'!$H$52="Baja",'Mapa final'!$L$52="Catastrófico"),CONCATENATE("R",'Mapa final'!$A$52),"")</f>
        <v/>
      </c>
      <c r="AK34" s="330"/>
      <c r="AL34" s="330" t="str">
        <f>IF(AND('Mapa final'!$H$58="Baja",'Mapa final'!$L$58="Catastrófico"),CONCATENATE("R",'Mapa final'!$A$58),"")</f>
        <v/>
      </c>
      <c r="AM34" s="331"/>
      <c r="AN34" s="70"/>
      <c r="AO34" s="392"/>
      <c r="AP34" s="393"/>
      <c r="AQ34" s="393"/>
      <c r="AR34" s="393"/>
      <c r="AS34" s="393"/>
      <c r="AT34" s="394"/>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row>
    <row r="35" spans="1:80" x14ac:dyDescent="0.25">
      <c r="A35" s="70"/>
      <c r="B35" s="360"/>
      <c r="C35" s="360"/>
      <c r="D35" s="361"/>
      <c r="E35" s="352"/>
      <c r="F35" s="353"/>
      <c r="G35" s="353"/>
      <c r="H35" s="353"/>
      <c r="I35" s="358"/>
      <c r="J35" s="311"/>
      <c r="K35" s="312"/>
      <c r="L35" s="312"/>
      <c r="M35" s="312"/>
      <c r="N35" s="312"/>
      <c r="O35" s="313"/>
      <c r="P35" s="321"/>
      <c r="Q35" s="321"/>
      <c r="R35" s="321"/>
      <c r="S35" s="321"/>
      <c r="T35" s="321"/>
      <c r="U35" s="322"/>
      <c r="V35" s="320"/>
      <c r="W35" s="321"/>
      <c r="X35" s="321"/>
      <c r="Y35" s="321"/>
      <c r="Z35" s="321"/>
      <c r="AA35" s="322"/>
      <c r="AB35" s="338"/>
      <c r="AC35" s="339"/>
      <c r="AD35" s="340"/>
      <c r="AE35" s="340"/>
      <c r="AF35" s="340"/>
      <c r="AG35" s="341"/>
      <c r="AH35" s="329"/>
      <c r="AI35" s="330"/>
      <c r="AJ35" s="330"/>
      <c r="AK35" s="330"/>
      <c r="AL35" s="330"/>
      <c r="AM35" s="331"/>
      <c r="AN35" s="70"/>
      <c r="AO35" s="392"/>
      <c r="AP35" s="393"/>
      <c r="AQ35" s="393"/>
      <c r="AR35" s="393"/>
      <c r="AS35" s="393"/>
      <c r="AT35" s="394"/>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row>
    <row r="36" spans="1:80" x14ac:dyDescent="0.25">
      <c r="A36" s="70"/>
      <c r="B36" s="360"/>
      <c r="C36" s="360"/>
      <c r="D36" s="361"/>
      <c r="E36" s="352"/>
      <c r="F36" s="353"/>
      <c r="G36" s="353"/>
      <c r="H36" s="353"/>
      <c r="I36" s="358"/>
      <c r="J36" s="311" t="str">
        <f>IF(AND('Mapa final'!$H$64="Baja",'Mapa final'!$L$64="Leve"),CONCATENATE("R",'Mapa final'!$A$64),"")</f>
        <v/>
      </c>
      <c r="K36" s="312"/>
      <c r="L36" s="312" t="str">
        <f>IF(AND('Mapa final'!$H$70="Baja",'Mapa final'!$L$70="Leve"),CONCATENATE("R",'Mapa final'!$A$70),"")</f>
        <v/>
      </c>
      <c r="M36" s="312"/>
      <c r="N36" s="312" t="e">
        <f>IF(AND('Mapa final'!#REF!="Baja",'Mapa final'!#REF!="Leve"),CONCATENATE("R",'Mapa final'!#REF!),"")</f>
        <v>#REF!</v>
      </c>
      <c r="O36" s="313"/>
      <c r="P36" s="321" t="str">
        <f>IF(AND('Mapa final'!$H$64="Baja",'Mapa final'!$L$64="Menor"),CONCATENATE("R",'Mapa final'!$A$64),"")</f>
        <v/>
      </c>
      <c r="Q36" s="321"/>
      <c r="R36" s="321" t="str">
        <f>IF(AND('Mapa final'!$H$70="Baja",'Mapa final'!$L$70="Menor"),CONCATENATE("R",'Mapa final'!$A$70),"")</f>
        <v/>
      </c>
      <c r="S36" s="321"/>
      <c r="T36" s="321" t="e">
        <f>IF(AND('Mapa final'!#REF!="Baja",'Mapa final'!#REF!="Menor"),CONCATENATE("R",'Mapa final'!#REF!),"")</f>
        <v>#REF!</v>
      </c>
      <c r="U36" s="322"/>
      <c r="V36" s="320" t="str">
        <f>IF(AND('Mapa final'!$H$64="Baja",'Mapa final'!$L$64="Moderado"),CONCATENATE("R",'Mapa final'!$A$64),"")</f>
        <v/>
      </c>
      <c r="W36" s="321"/>
      <c r="X36" s="321" t="str">
        <f>IF(AND('Mapa final'!$H$70="Baja",'Mapa final'!$L$70="Moderado"),CONCATENATE("R",'Mapa final'!$A$70),"")</f>
        <v/>
      </c>
      <c r="Y36" s="321"/>
      <c r="Z36" s="321" t="e">
        <f>IF(AND('Mapa final'!#REF!="Baja",'Mapa final'!#REF!="Moderado"),CONCATENATE("R",'Mapa final'!#REF!),"")</f>
        <v>#REF!</v>
      </c>
      <c r="AA36" s="322"/>
      <c r="AB36" s="338" t="str">
        <f>IF(AND('Mapa final'!$H$64="Baja",'Mapa final'!$L$64="Mayor"),CONCATENATE("R",'Mapa final'!$A$64),"")</f>
        <v/>
      </c>
      <c r="AC36" s="339"/>
      <c r="AD36" s="340" t="str">
        <f>IF(AND('Mapa final'!$H$70="Baja",'Mapa final'!$L$70="Mayor"),CONCATENATE("R",'Mapa final'!$A$70),"")</f>
        <v/>
      </c>
      <c r="AE36" s="340"/>
      <c r="AF36" s="340" t="e">
        <f>IF(AND('Mapa final'!#REF!="Baja",'Mapa final'!#REF!="Mayor"),CONCATENATE("R",'Mapa final'!#REF!),"")</f>
        <v>#REF!</v>
      </c>
      <c r="AG36" s="341"/>
      <c r="AH36" s="329" t="str">
        <f>IF(AND('Mapa final'!$H$64="Baja",'Mapa final'!$L$64="Catastrófico"),CONCATENATE("R",'Mapa final'!$A$64),"")</f>
        <v/>
      </c>
      <c r="AI36" s="330"/>
      <c r="AJ36" s="330" t="str">
        <f>IF(AND('Mapa final'!$H$70="Baja",'Mapa final'!$L$70="Catastrófico"),CONCATENATE("R",'Mapa final'!$A$70),"")</f>
        <v/>
      </c>
      <c r="AK36" s="330"/>
      <c r="AL36" s="330" t="e">
        <f>IF(AND('Mapa final'!#REF!="Baja",'Mapa final'!#REF!="Catastrófico"),CONCATENATE("R",'Mapa final'!#REF!),"")</f>
        <v>#REF!</v>
      </c>
      <c r="AM36" s="331"/>
      <c r="AN36" s="70"/>
      <c r="AO36" s="392"/>
      <c r="AP36" s="393"/>
      <c r="AQ36" s="393"/>
      <c r="AR36" s="393"/>
      <c r="AS36" s="393"/>
      <c r="AT36" s="394"/>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row>
    <row r="37" spans="1:80" ht="15.75" thickBot="1" x14ac:dyDescent="0.3">
      <c r="A37" s="70"/>
      <c r="B37" s="360"/>
      <c r="C37" s="360"/>
      <c r="D37" s="361"/>
      <c r="E37" s="355"/>
      <c r="F37" s="356"/>
      <c r="G37" s="356"/>
      <c r="H37" s="356"/>
      <c r="I37" s="356"/>
      <c r="J37" s="314"/>
      <c r="K37" s="315"/>
      <c r="L37" s="315"/>
      <c r="M37" s="315"/>
      <c r="N37" s="315"/>
      <c r="O37" s="316"/>
      <c r="P37" s="324"/>
      <c r="Q37" s="324"/>
      <c r="R37" s="324"/>
      <c r="S37" s="324"/>
      <c r="T37" s="324"/>
      <c r="U37" s="325"/>
      <c r="V37" s="323"/>
      <c r="W37" s="324"/>
      <c r="X37" s="324"/>
      <c r="Y37" s="324"/>
      <c r="Z37" s="324"/>
      <c r="AA37" s="325"/>
      <c r="AB37" s="342"/>
      <c r="AC37" s="343"/>
      <c r="AD37" s="343"/>
      <c r="AE37" s="343"/>
      <c r="AF37" s="343"/>
      <c r="AG37" s="344"/>
      <c r="AH37" s="332"/>
      <c r="AI37" s="333"/>
      <c r="AJ37" s="333"/>
      <c r="AK37" s="333"/>
      <c r="AL37" s="333"/>
      <c r="AM37" s="334"/>
      <c r="AN37" s="70"/>
      <c r="AO37" s="395"/>
      <c r="AP37" s="396"/>
      <c r="AQ37" s="396"/>
      <c r="AR37" s="396"/>
      <c r="AS37" s="396"/>
      <c r="AT37" s="397"/>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row>
    <row r="38" spans="1:80" x14ac:dyDescent="0.25">
      <c r="A38" s="70"/>
      <c r="B38" s="360"/>
      <c r="C38" s="360"/>
      <c r="D38" s="361"/>
      <c r="E38" s="349" t="s">
        <v>113</v>
      </c>
      <c r="F38" s="350"/>
      <c r="G38" s="350"/>
      <c r="H38" s="350"/>
      <c r="I38" s="351"/>
      <c r="J38" s="317" t="str">
        <f>IF(AND('Mapa final'!$H$10="Muy Baja",'Mapa final'!$L$10="Leve"),CONCATENATE("R",'Mapa final'!$A$10),"")</f>
        <v/>
      </c>
      <c r="K38" s="318"/>
      <c r="L38" s="318" t="str">
        <f>IF(AND('Mapa final'!$H$16="Muy Baja",'Mapa final'!$L$16="Leve"),CONCATENATE("R",'Mapa final'!$A$16),"")</f>
        <v/>
      </c>
      <c r="M38" s="318"/>
      <c r="N38" s="318" t="str">
        <f>IF(AND('Mapa final'!$H$22="Muy Baja",'Mapa final'!$L$22="Leve"),CONCATENATE("R",'Mapa final'!$A$22),"")</f>
        <v/>
      </c>
      <c r="O38" s="319"/>
      <c r="P38" s="317" t="str">
        <f>IF(AND('Mapa final'!$H$10="Muy Baja",'Mapa final'!$L$10="Menor"),CONCATENATE("R",'Mapa final'!$A$10),"")</f>
        <v/>
      </c>
      <c r="Q38" s="318"/>
      <c r="R38" s="318" t="str">
        <f>IF(AND('Mapa final'!$H$16="Muy Baja",'Mapa final'!$L$16="Menor"),CONCATENATE("R",'Mapa final'!$A$16),"")</f>
        <v/>
      </c>
      <c r="S38" s="318"/>
      <c r="T38" s="318" t="str">
        <f>IF(AND('Mapa final'!$H$22="Muy Baja",'Mapa final'!$L$22="Menor"),CONCATENATE("R",'Mapa final'!$A$22),"")</f>
        <v/>
      </c>
      <c r="U38" s="319"/>
      <c r="V38" s="326" t="str">
        <f>IF(AND('Mapa final'!$H$10="Muy Baja",'Mapa final'!$L$10="Moderado"),CONCATENATE("R",'Mapa final'!$A$10),"")</f>
        <v/>
      </c>
      <c r="W38" s="327"/>
      <c r="X38" s="327" t="str">
        <f>IF(AND('Mapa final'!$H$16="Muy Baja",'Mapa final'!$L$16="Moderado"),CONCATENATE("R",'Mapa final'!$A$16),"")</f>
        <v/>
      </c>
      <c r="Y38" s="327"/>
      <c r="Z38" s="327" t="str">
        <f>IF(AND('Mapa final'!$H$22="Muy Baja",'Mapa final'!$L$22="Moderado"),CONCATENATE("R",'Mapa final'!$A$22),"")</f>
        <v/>
      </c>
      <c r="AA38" s="328"/>
      <c r="AB38" s="345" t="str">
        <f>IF(AND('Mapa final'!$H$10="Muy Baja",'Mapa final'!$L$10="Mayor"),CONCATENATE("R",'Mapa final'!$A$10),"")</f>
        <v/>
      </c>
      <c r="AC38" s="346"/>
      <c r="AD38" s="346" t="str">
        <f>IF(AND('Mapa final'!$H$16="Muy Baja",'Mapa final'!$L$16="Mayor"),CONCATENATE("R",'Mapa final'!$A$16),"")</f>
        <v/>
      </c>
      <c r="AE38" s="346"/>
      <c r="AF38" s="346" t="str">
        <f>IF(AND('Mapa final'!$H$22="Muy Baja",'Mapa final'!$L$22="Mayor"),CONCATENATE("R",'Mapa final'!$A$22),"")</f>
        <v/>
      </c>
      <c r="AG38" s="347"/>
      <c r="AH38" s="335" t="str">
        <f>IF(AND('Mapa final'!$H$10="Muy Baja",'Mapa final'!$L$10="Catastrófico"),CONCATENATE("R",'Mapa final'!$A$10),"")</f>
        <v/>
      </c>
      <c r="AI38" s="336"/>
      <c r="AJ38" s="336" t="str">
        <f>IF(AND('Mapa final'!$H$16="Muy Baja",'Mapa final'!$L$16="Catastrófico"),CONCATENATE("R",'Mapa final'!$A$16),"")</f>
        <v/>
      </c>
      <c r="AK38" s="336"/>
      <c r="AL38" s="336" t="str">
        <f>IF(AND('Mapa final'!$H$22="Muy Baja",'Mapa final'!$L$22="Catastrófico"),CONCATENATE("R",'Mapa final'!$A$22),"")</f>
        <v/>
      </c>
      <c r="AM38" s="337"/>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row>
    <row r="39" spans="1:80" x14ac:dyDescent="0.25">
      <c r="A39" s="70"/>
      <c r="B39" s="360"/>
      <c r="C39" s="360"/>
      <c r="D39" s="361"/>
      <c r="E39" s="352"/>
      <c r="F39" s="353"/>
      <c r="G39" s="353"/>
      <c r="H39" s="353"/>
      <c r="I39" s="354"/>
      <c r="J39" s="311"/>
      <c r="K39" s="312"/>
      <c r="L39" s="312"/>
      <c r="M39" s="312"/>
      <c r="N39" s="312"/>
      <c r="O39" s="313"/>
      <c r="P39" s="311"/>
      <c r="Q39" s="312"/>
      <c r="R39" s="312"/>
      <c r="S39" s="312"/>
      <c r="T39" s="312"/>
      <c r="U39" s="313"/>
      <c r="V39" s="320"/>
      <c r="W39" s="321"/>
      <c r="X39" s="321"/>
      <c r="Y39" s="321"/>
      <c r="Z39" s="321"/>
      <c r="AA39" s="322"/>
      <c r="AB39" s="338"/>
      <c r="AC39" s="339"/>
      <c r="AD39" s="339"/>
      <c r="AE39" s="339"/>
      <c r="AF39" s="339"/>
      <c r="AG39" s="341"/>
      <c r="AH39" s="329"/>
      <c r="AI39" s="330"/>
      <c r="AJ39" s="330"/>
      <c r="AK39" s="330"/>
      <c r="AL39" s="330"/>
      <c r="AM39" s="331"/>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row>
    <row r="40" spans="1:80" x14ac:dyDescent="0.25">
      <c r="A40" s="70"/>
      <c r="B40" s="360"/>
      <c r="C40" s="360"/>
      <c r="D40" s="361"/>
      <c r="E40" s="352"/>
      <c r="F40" s="353"/>
      <c r="G40" s="353"/>
      <c r="H40" s="353"/>
      <c r="I40" s="354"/>
      <c r="J40" s="311" t="str">
        <f>IF(AND('Mapa final'!$H$28="Muy Baja",'Mapa final'!$L$28="Leve"),CONCATENATE("R",'Mapa final'!$A$28),"")</f>
        <v/>
      </c>
      <c r="K40" s="312"/>
      <c r="L40" s="312" t="str">
        <f>IF(AND('Mapa final'!$H$34="Muy Baja",'Mapa final'!$L$34="Leve"),CONCATENATE("R",'Mapa final'!$A$34),"")</f>
        <v/>
      </c>
      <c r="M40" s="312"/>
      <c r="N40" s="312" t="str">
        <f>IF(AND('Mapa final'!$H$40="Muy Baja",'Mapa final'!$L$40="Leve"),CONCATENATE("R",'Mapa final'!$A$40),"")</f>
        <v/>
      </c>
      <c r="O40" s="313"/>
      <c r="P40" s="311" t="str">
        <f>IF(AND('Mapa final'!$H$28="Muy Baja",'Mapa final'!$L$28="Menor"),CONCATENATE("R",'Mapa final'!$A$28),"")</f>
        <v/>
      </c>
      <c r="Q40" s="312"/>
      <c r="R40" s="312" t="str">
        <f>IF(AND('Mapa final'!$H$34="Muy Baja",'Mapa final'!$L$34="Menor"),CONCATENATE("R",'Mapa final'!$A$34),"")</f>
        <v/>
      </c>
      <c r="S40" s="312"/>
      <c r="T40" s="312" t="str">
        <f>IF(AND('Mapa final'!$H$40="Muy Baja",'Mapa final'!$L$40="Menor"),CONCATENATE("R",'Mapa final'!$A$40),"")</f>
        <v/>
      </c>
      <c r="U40" s="313"/>
      <c r="V40" s="320" t="str">
        <f>IF(AND('Mapa final'!$H$28="Muy Baja",'Mapa final'!$L$28="Moderado"),CONCATENATE("R",'Mapa final'!$A$28),"")</f>
        <v/>
      </c>
      <c r="W40" s="321"/>
      <c r="X40" s="321" t="str">
        <f>IF(AND('Mapa final'!$H$34="Muy Baja",'Mapa final'!$L$34="Moderado"),CONCATENATE("R",'Mapa final'!$A$34),"")</f>
        <v/>
      </c>
      <c r="Y40" s="321"/>
      <c r="Z40" s="321" t="str">
        <f>IF(AND('Mapa final'!$H$40="Muy Baja",'Mapa final'!$L$40="Moderado"),CONCATENATE("R",'Mapa final'!$A$40),"")</f>
        <v/>
      </c>
      <c r="AA40" s="322"/>
      <c r="AB40" s="338" t="str">
        <f>IF(AND('Mapa final'!$H$28="Muy Baja",'Mapa final'!$L$28="Mayor"),CONCATENATE("R",'Mapa final'!$A$28),"")</f>
        <v/>
      </c>
      <c r="AC40" s="339"/>
      <c r="AD40" s="340" t="str">
        <f>IF(AND('Mapa final'!$H$34="Muy Baja",'Mapa final'!$L$34="Mayor"),CONCATENATE("R",'Mapa final'!$A$34),"")</f>
        <v/>
      </c>
      <c r="AE40" s="340"/>
      <c r="AF40" s="340" t="str">
        <f>IF(AND('Mapa final'!$H$40="Muy Baja",'Mapa final'!$L$40="Mayor"),CONCATENATE("R",'Mapa final'!$A$40),"")</f>
        <v/>
      </c>
      <c r="AG40" s="341"/>
      <c r="AH40" s="329" t="str">
        <f>IF(AND('Mapa final'!$H$28="Muy Baja",'Mapa final'!$L$28="Catastrófico"),CONCATENATE("R",'Mapa final'!$A$28),"")</f>
        <v/>
      </c>
      <c r="AI40" s="330"/>
      <c r="AJ40" s="330" t="str">
        <f>IF(AND('Mapa final'!$H$34="Muy Baja",'Mapa final'!$L$34="Catastrófico"),CONCATENATE("R",'Mapa final'!$A$34),"")</f>
        <v/>
      </c>
      <c r="AK40" s="330"/>
      <c r="AL40" s="330" t="str">
        <f>IF(AND('Mapa final'!$H$40="Muy Baja",'Mapa final'!$L$40="Catastrófico"),CONCATENATE("R",'Mapa final'!$A$40),"")</f>
        <v/>
      </c>
      <c r="AM40" s="331"/>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row>
    <row r="41" spans="1:80" x14ac:dyDescent="0.25">
      <c r="A41" s="70"/>
      <c r="B41" s="360"/>
      <c r="C41" s="360"/>
      <c r="D41" s="361"/>
      <c r="E41" s="352"/>
      <c r="F41" s="353"/>
      <c r="G41" s="353"/>
      <c r="H41" s="353"/>
      <c r="I41" s="354"/>
      <c r="J41" s="311"/>
      <c r="K41" s="312"/>
      <c r="L41" s="312"/>
      <c r="M41" s="312"/>
      <c r="N41" s="312"/>
      <c r="O41" s="313"/>
      <c r="P41" s="311"/>
      <c r="Q41" s="312"/>
      <c r="R41" s="312"/>
      <c r="S41" s="312"/>
      <c r="T41" s="312"/>
      <c r="U41" s="313"/>
      <c r="V41" s="320"/>
      <c r="W41" s="321"/>
      <c r="X41" s="321"/>
      <c r="Y41" s="321"/>
      <c r="Z41" s="321"/>
      <c r="AA41" s="322"/>
      <c r="AB41" s="338"/>
      <c r="AC41" s="339"/>
      <c r="AD41" s="340"/>
      <c r="AE41" s="340"/>
      <c r="AF41" s="340"/>
      <c r="AG41" s="341"/>
      <c r="AH41" s="329"/>
      <c r="AI41" s="330"/>
      <c r="AJ41" s="330"/>
      <c r="AK41" s="330"/>
      <c r="AL41" s="330"/>
      <c r="AM41" s="331"/>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row>
    <row r="42" spans="1:80" x14ac:dyDescent="0.25">
      <c r="A42" s="70"/>
      <c r="B42" s="360"/>
      <c r="C42" s="360"/>
      <c r="D42" s="361"/>
      <c r="E42" s="352"/>
      <c r="F42" s="353"/>
      <c r="G42" s="353"/>
      <c r="H42" s="353"/>
      <c r="I42" s="354"/>
      <c r="J42" s="311" t="str">
        <f>IF(AND('Mapa final'!$H$46="Muy Baja",'Mapa final'!$L$46="Leve"),CONCATENATE("R",'Mapa final'!$A$46),"")</f>
        <v/>
      </c>
      <c r="K42" s="312"/>
      <c r="L42" s="312" t="str">
        <f>IF(AND('Mapa final'!$H$52="Muy Baja",'Mapa final'!$L$52="Leve"),CONCATENATE("R",'Mapa final'!$A$52),"")</f>
        <v/>
      </c>
      <c r="M42" s="312"/>
      <c r="N42" s="312" t="str">
        <f>IF(AND('Mapa final'!$H$58="Muy Baja",'Mapa final'!$L$58="Leve"),CONCATENATE("R",'Mapa final'!$A$58),"")</f>
        <v/>
      </c>
      <c r="O42" s="313"/>
      <c r="P42" s="311" t="str">
        <f>IF(AND('Mapa final'!$H$46="Muy Baja",'Mapa final'!$L$46="Menor"),CONCATENATE("R",'Mapa final'!$A$46),"")</f>
        <v/>
      </c>
      <c r="Q42" s="312"/>
      <c r="R42" s="312" t="str">
        <f>IF(AND('Mapa final'!$H$52="Muy Baja",'Mapa final'!$L$52="Menor"),CONCATENATE("R",'Mapa final'!$A$52),"")</f>
        <v/>
      </c>
      <c r="S42" s="312"/>
      <c r="T42" s="312" t="str">
        <f>IF(AND('Mapa final'!$H$58="Muy Baja",'Mapa final'!$L$58="Menor"),CONCATENATE("R",'Mapa final'!$A$58),"")</f>
        <v/>
      </c>
      <c r="U42" s="313"/>
      <c r="V42" s="320" t="str">
        <f>IF(AND('Mapa final'!$H$46="Muy Baja",'Mapa final'!$L$46="Moderado"),CONCATENATE("R",'Mapa final'!$A$46),"")</f>
        <v/>
      </c>
      <c r="W42" s="321"/>
      <c r="X42" s="321" t="str">
        <f>IF(AND('Mapa final'!$H$52="Muy Baja",'Mapa final'!$L$52="Moderado"),CONCATENATE("R",'Mapa final'!$A$52),"")</f>
        <v/>
      </c>
      <c r="Y42" s="321"/>
      <c r="Z42" s="321" t="str">
        <f>IF(AND('Mapa final'!$H$58="Muy Baja",'Mapa final'!$L$58="Moderado"),CONCATENATE("R",'Mapa final'!$A$58),"")</f>
        <v/>
      </c>
      <c r="AA42" s="322"/>
      <c r="AB42" s="338" t="str">
        <f>IF(AND('Mapa final'!$H$46="Muy Baja",'Mapa final'!$L$46="Mayor"),CONCATENATE("R",'Mapa final'!$A$46),"")</f>
        <v/>
      </c>
      <c r="AC42" s="339"/>
      <c r="AD42" s="340" t="str">
        <f>IF(AND('Mapa final'!$H$52="Muy Baja",'Mapa final'!$L$52="Mayor"),CONCATENATE("R",'Mapa final'!$A$52),"")</f>
        <v/>
      </c>
      <c r="AE42" s="340"/>
      <c r="AF42" s="340" t="str">
        <f>IF(AND('Mapa final'!$H$58="Muy Baja",'Mapa final'!$L$58="Mayor"),CONCATENATE("R",'Mapa final'!$A$58),"")</f>
        <v/>
      </c>
      <c r="AG42" s="341"/>
      <c r="AH42" s="329" t="str">
        <f>IF(AND('Mapa final'!$H$46="Muy Baja",'Mapa final'!$L$46="Catastrófico"),CONCATENATE("R",'Mapa final'!$A$46),"")</f>
        <v/>
      </c>
      <c r="AI42" s="330"/>
      <c r="AJ42" s="330" t="str">
        <f>IF(AND('Mapa final'!$H$52="Muy Baja",'Mapa final'!$L$52="Catastrófico"),CONCATENATE("R",'Mapa final'!$A$52),"")</f>
        <v/>
      </c>
      <c r="AK42" s="330"/>
      <c r="AL42" s="330" t="str">
        <f>IF(AND('Mapa final'!$H$58="Muy Baja",'Mapa final'!$L$58="Catastrófico"),CONCATENATE("R",'Mapa final'!$A$58),"")</f>
        <v/>
      </c>
      <c r="AM42" s="331"/>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x14ac:dyDescent="0.25">
      <c r="A43" s="70"/>
      <c r="B43" s="360"/>
      <c r="C43" s="360"/>
      <c r="D43" s="361"/>
      <c r="E43" s="352"/>
      <c r="F43" s="353"/>
      <c r="G43" s="353"/>
      <c r="H43" s="353"/>
      <c r="I43" s="354"/>
      <c r="J43" s="311"/>
      <c r="K43" s="312"/>
      <c r="L43" s="312"/>
      <c r="M43" s="312"/>
      <c r="N43" s="312"/>
      <c r="O43" s="313"/>
      <c r="P43" s="311"/>
      <c r="Q43" s="312"/>
      <c r="R43" s="312"/>
      <c r="S43" s="312"/>
      <c r="T43" s="312"/>
      <c r="U43" s="313"/>
      <c r="V43" s="320"/>
      <c r="W43" s="321"/>
      <c r="X43" s="321"/>
      <c r="Y43" s="321"/>
      <c r="Z43" s="321"/>
      <c r="AA43" s="322"/>
      <c r="AB43" s="338"/>
      <c r="AC43" s="339"/>
      <c r="AD43" s="340"/>
      <c r="AE43" s="340"/>
      <c r="AF43" s="340"/>
      <c r="AG43" s="341"/>
      <c r="AH43" s="329"/>
      <c r="AI43" s="330"/>
      <c r="AJ43" s="330"/>
      <c r="AK43" s="330"/>
      <c r="AL43" s="330"/>
      <c r="AM43" s="331"/>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x14ac:dyDescent="0.25">
      <c r="A44" s="70"/>
      <c r="B44" s="360"/>
      <c r="C44" s="360"/>
      <c r="D44" s="361"/>
      <c r="E44" s="352"/>
      <c r="F44" s="353"/>
      <c r="G44" s="353"/>
      <c r="H44" s="353"/>
      <c r="I44" s="354"/>
      <c r="J44" s="311" t="str">
        <f>IF(AND('Mapa final'!$H$64="Muy Baja",'Mapa final'!$L$64="Leve"),CONCATENATE("R",'Mapa final'!$A$64),"")</f>
        <v/>
      </c>
      <c r="K44" s="312"/>
      <c r="L44" s="312" t="str">
        <f>IF(AND('Mapa final'!$H$70="Muy Baja",'Mapa final'!$L$70="Leve"),CONCATENATE("R",'Mapa final'!$A$70),"")</f>
        <v/>
      </c>
      <c r="M44" s="312"/>
      <c r="N44" s="312" t="e">
        <f>IF(AND('Mapa final'!#REF!="Muy Baja",'Mapa final'!#REF!="Leve"),CONCATENATE("R",'Mapa final'!#REF!),"")</f>
        <v>#REF!</v>
      </c>
      <c r="O44" s="313"/>
      <c r="P44" s="311" t="str">
        <f>IF(AND('Mapa final'!$H$64="Muy Baja",'Mapa final'!$L$64="Menor"),CONCATENATE("R",'Mapa final'!$A$64),"")</f>
        <v/>
      </c>
      <c r="Q44" s="312"/>
      <c r="R44" s="312" t="str">
        <f>IF(AND('Mapa final'!$H$70="Muy Baja",'Mapa final'!$L$70="Menor"),CONCATENATE("R",'Mapa final'!$A$70),"")</f>
        <v/>
      </c>
      <c r="S44" s="312"/>
      <c r="T44" s="312" t="e">
        <f>IF(AND('Mapa final'!#REF!="Muy Baja",'Mapa final'!#REF!="Menor"),CONCATENATE("R",'Mapa final'!#REF!),"")</f>
        <v>#REF!</v>
      </c>
      <c r="U44" s="313"/>
      <c r="V44" s="320" t="str">
        <f>IF(AND('Mapa final'!$H$64="Muy Baja",'Mapa final'!$L$64="Moderado"),CONCATENATE("R",'Mapa final'!$A$64),"")</f>
        <v/>
      </c>
      <c r="W44" s="321"/>
      <c r="X44" s="321" t="str">
        <f>IF(AND('Mapa final'!$H$70="Muy Baja",'Mapa final'!$L$70="Moderado"),CONCATENATE("R",'Mapa final'!$A$70),"")</f>
        <v/>
      </c>
      <c r="Y44" s="321"/>
      <c r="Z44" s="321" t="e">
        <f>IF(AND('Mapa final'!#REF!="Muy Baja",'Mapa final'!#REF!="Moderado"),CONCATENATE("R",'Mapa final'!#REF!),"")</f>
        <v>#REF!</v>
      </c>
      <c r="AA44" s="322"/>
      <c r="AB44" s="338" t="str">
        <f>IF(AND('Mapa final'!$H$64="Muy Baja",'Mapa final'!$L$64="Mayor"),CONCATENATE("R",'Mapa final'!$A$64),"")</f>
        <v/>
      </c>
      <c r="AC44" s="339"/>
      <c r="AD44" s="340" t="str">
        <f>IF(AND('Mapa final'!$H$70="Muy Baja",'Mapa final'!$L$70="Mayor"),CONCATENATE("R",'Mapa final'!$A$70),"")</f>
        <v/>
      </c>
      <c r="AE44" s="340"/>
      <c r="AF44" s="340" t="e">
        <f>IF(AND('Mapa final'!#REF!="Muy Baja",'Mapa final'!#REF!="Mayor"),CONCATENATE("R",'Mapa final'!#REF!),"")</f>
        <v>#REF!</v>
      </c>
      <c r="AG44" s="341"/>
      <c r="AH44" s="329" t="str">
        <f>IF(AND('Mapa final'!$H$64="Muy Baja",'Mapa final'!$L$64="Catastrófico"),CONCATENATE("R",'Mapa final'!$A$64),"")</f>
        <v/>
      </c>
      <c r="AI44" s="330"/>
      <c r="AJ44" s="330" t="str">
        <f>IF(AND('Mapa final'!$H$70="Muy Baja",'Mapa final'!$L$70="Catastrófico"),CONCATENATE("R",'Mapa final'!$A$70),"")</f>
        <v/>
      </c>
      <c r="AK44" s="330"/>
      <c r="AL44" s="330" t="e">
        <f>IF(AND('Mapa final'!#REF!="Muy Baja",'Mapa final'!#REF!="Catastrófico"),CONCATENATE("R",'Mapa final'!#REF!),"")</f>
        <v>#REF!</v>
      </c>
      <c r="AM44" s="331"/>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15.75" thickBot="1" x14ac:dyDescent="0.3">
      <c r="A45" s="70"/>
      <c r="B45" s="360"/>
      <c r="C45" s="360"/>
      <c r="D45" s="361"/>
      <c r="E45" s="355"/>
      <c r="F45" s="356"/>
      <c r="G45" s="356"/>
      <c r="H45" s="356"/>
      <c r="I45" s="357"/>
      <c r="J45" s="314"/>
      <c r="K45" s="315"/>
      <c r="L45" s="315"/>
      <c r="M45" s="315"/>
      <c r="N45" s="315"/>
      <c r="O45" s="316"/>
      <c r="P45" s="314"/>
      <c r="Q45" s="315"/>
      <c r="R45" s="315"/>
      <c r="S45" s="315"/>
      <c r="T45" s="315"/>
      <c r="U45" s="316"/>
      <c r="V45" s="323"/>
      <c r="W45" s="324"/>
      <c r="X45" s="324"/>
      <c r="Y45" s="324"/>
      <c r="Z45" s="324"/>
      <c r="AA45" s="325"/>
      <c r="AB45" s="342"/>
      <c r="AC45" s="343"/>
      <c r="AD45" s="343"/>
      <c r="AE45" s="343"/>
      <c r="AF45" s="343"/>
      <c r="AG45" s="344"/>
      <c r="AH45" s="332"/>
      <c r="AI45" s="333"/>
      <c r="AJ45" s="333"/>
      <c r="AK45" s="333"/>
      <c r="AL45" s="333"/>
      <c r="AM45" s="334"/>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row>
    <row r="46" spans="1:80" x14ac:dyDescent="0.25">
      <c r="A46" s="70"/>
      <c r="B46" s="70"/>
      <c r="C46" s="70"/>
      <c r="D46" s="70"/>
      <c r="E46" s="70"/>
      <c r="F46" s="70"/>
      <c r="G46" s="70"/>
      <c r="H46" s="70"/>
      <c r="I46" s="70"/>
      <c r="J46" s="349" t="s">
        <v>112</v>
      </c>
      <c r="K46" s="350"/>
      <c r="L46" s="350"/>
      <c r="M46" s="350"/>
      <c r="N46" s="350"/>
      <c r="O46" s="351"/>
      <c r="P46" s="349" t="s">
        <v>111</v>
      </c>
      <c r="Q46" s="350"/>
      <c r="R46" s="350"/>
      <c r="S46" s="350"/>
      <c r="T46" s="350"/>
      <c r="U46" s="351"/>
      <c r="V46" s="349" t="s">
        <v>110</v>
      </c>
      <c r="W46" s="350"/>
      <c r="X46" s="350"/>
      <c r="Y46" s="350"/>
      <c r="Z46" s="350"/>
      <c r="AA46" s="351"/>
      <c r="AB46" s="349" t="s">
        <v>109</v>
      </c>
      <c r="AC46" s="359"/>
      <c r="AD46" s="350"/>
      <c r="AE46" s="350"/>
      <c r="AF46" s="350"/>
      <c r="AG46" s="351"/>
      <c r="AH46" s="349" t="s">
        <v>108</v>
      </c>
      <c r="AI46" s="350"/>
      <c r="AJ46" s="350"/>
      <c r="AK46" s="350"/>
      <c r="AL46" s="350"/>
      <c r="AM46" s="351"/>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x14ac:dyDescent="0.25">
      <c r="A47" s="70"/>
      <c r="B47" s="70"/>
      <c r="C47" s="70"/>
      <c r="D47" s="70"/>
      <c r="E47" s="70"/>
      <c r="F47" s="70"/>
      <c r="G47" s="70"/>
      <c r="H47" s="70"/>
      <c r="I47" s="70"/>
      <c r="J47" s="352"/>
      <c r="K47" s="353"/>
      <c r="L47" s="353"/>
      <c r="M47" s="353"/>
      <c r="N47" s="353"/>
      <c r="O47" s="354"/>
      <c r="P47" s="352"/>
      <c r="Q47" s="353"/>
      <c r="R47" s="353"/>
      <c r="S47" s="353"/>
      <c r="T47" s="353"/>
      <c r="U47" s="354"/>
      <c r="V47" s="352"/>
      <c r="W47" s="353"/>
      <c r="X47" s="353"/>
      <c r="Y47" s="353"/>
      <c r="Z47" s="353"/>
      <c r="AA47" s="354"/>
      <c r="AB47" s="352"/>
      <c r="AC47" s="353"/>
      <c r="AD47" s="353"/>
      <c r="AE47" s="353"/>
      <c r="AF47" s="353"/>
      <c r="AG47" s="354"/>
      <c r="AH47" s="352"/>
      <c r="AI47" s="353"/>
      <c r="AJ47" s="353"/>
      <c r="AK47" s="353"/>
      <c r="AL47" s="353"/>
      <c r="AM47" s="354"/>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x14ac:dyDescent="0.25">
      <c r="A48" s="70"/>
      <c r="B48" s="70"/>
      <c r="C48" s="70"/>
      <c r="D48" s="70"/>
      <c r="E48" s="70"/>
      <c r="F48" s="70"/>
      <c r="G48" s="70"/>
      <c r="H48" s="70"/>
      <c r="I48" s="70"/>
      <c r="J48" s="352"/>
      <c r="K48" s="353"/>
      <c r="L48" s="353"/>
      <c r="M48" s="353"/>
      <c r="N48" s="353"/>
      <c r="O48" s="354"/>
      <c r="P48" s="352"/>
      <c r="Q48" s="353"/>
      <c r="R48" s="353"/>
      <c r="S48" s="353"/>
      <c r="T48" s="353"/>
      <c r="U48" s="354"/>
      <c r="V48" s="352"/>
      <c r="W48" s="353"/>
      <c r="X48" s="353"/>
      <c r="Y48" s="353"/>
      <c r="Z48" s="353"/>
      <c r="AA48" s="354"/>
      <c r="AB48" s="352"/>
      <c r="AC48" s="353"/>
      <c r="AD48" s="353"/>
      <c r="AE48" s="353"/>
      <c r="AF48" s="353"/>
      <c r="AG48" s="354"/>
      <c r="AH48" s="352"/>
      <c r="AI48" s="353"/>
      <c r="AJ48" s="353"/>
      <c r="AK48" s="353"/>
      <c r="AL48" s="353"/>
      <c r="AM48" s="354"/>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x14ac:dyDescent="0.25">
      <c r="A49" s="70"/>
      <c r="B49" s="70"/>
      <c r="C49" s="70"/>
      <c r="D49" s="70"/>
      <c r="E49" s="70"/>
      <c r="F49" s="70"/>
      <c r="G49" s="70"/>
      <c r="H49" s="70"/>
      <c r="I49" s="70"/>
      <c r="J49" s="352"/>
      <c r="K49" s="353"/>
      <c r="L49" s="353"/>
      <c r="M49" s="353"/>
      <c r="N49" s="353"/>
      <c r="O49" s="354"/>
      <c r="P49" s="352"/>
      <c r="Q49" s="353"/>
      <c r="R49" s="353"/>
      <c r="S49" s="353"/>
      <c r="T49" s="353"/>
      <c r="U49" s="354"/>
      <c r="V49" s="352"/>
      <c r="W49" s="353"/>
      <c r="X49" s="353"/>
      <c r="Y49" s="353"/>
      <c r="Z49" s="353"/>
      <c r="AA49" s="354"/>
      <c r="AB49" s="352"/>
      <c r="AC49" s="353"/>
      <c r="AD49" s="353"/>
      <c r="AE49" s="353"/>
      <c r="AF49" s="353"/>
      <c r="AG49" s="354"/>
      <c r="AH49" s="352"/>
      <c r="AI49" s="353"/>
      <c r="AJ49" s="353"/>
      <c r="AK49" s="353"/>
      <c r="AL49" s="353"/>
      <c r="AM49" s="354"/>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x14ac:dyDescent="0.25">
      <c r="A50" s="70"/>
      <c r="B50" s="70"/>
      <c r="C50" s="70"/>
      <c r="D50" s="70"/>
      <c r="E50" s="70"/>
      <c r="F50" s="70"/>
      <c r="G50" s="70"/>
      <c r="H50" s="70"/>
      <c r="I50" s="70"/>
      <c r="J50" s="352"/>
      <c r="K50" s="353"/>
      <c r="L50" s="353"/>
      <c r="M50" s="353"/>
      <c r="N50" s="353"/>
      <c r="O50" s="354"/>
      <c r="P50" s="352"/>
      <c r="Q50" s="353"/>
      <c r="R50" s="353"/>
      <c r="S50" s="353"/>
      <c r="T50" s="353"/>
      <c r="U50" s="354"/>
      <c r="V50" s="352"/>
      <c r="W50" s="353"/>
      <c r="X50" s="353"/>
      <c r="Y50" s="353"/>
      <c r="Z50" s="353"/>
      <c r="AA50" s="354"/>
      <c r="AB50" s="352"/>
      <c r="AC50" s="353"/>
      <c r="AD50" s="353"/>
      <c r="AE50" s="353"/>
      <c r="AF50" s="353"/>
      <c r="AG50" s="354"/>
      <c r="AH50" s="352"/>
      <c r="AI50" s="353"/>
      <c r="AJ50" s="353"/>
      <c r="AK50" s="353"/>
      <c r="AL50" s="353"/>
      <c r="AM50" s="354"/>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75" thickBot="1" x14ac:dyDescent="0.3">
      <c r="A51" s="70"/>
      <c r="B51" s="70"/>
      <c r="C51" s="70"/>
      <c r="D51" s="70"/>
      <c r="E51" s="70"/>
      <c r="F51" s="70"/>
      <c r="G51" s="70"/>
      <c r="H51" s="70"/>
      <c r="I51" s="70"/>
      <c r="J51" s="355"/>
      <c r="K51" s="356"/>
      <c r="L51" s="356"/>
      <c r="M51" s="356"/>
      <c r="N51" s="356"/>
      <c r="O51" s="357"/>
      <c r="P51" s="355"/>
      <c r="Q51" s="356"/>
      <c r="R51" s="356"/>
      <c r="S51" s="356"/>
      <c r="T51" s="356"/>
      <c r="U51" s="357"/>
      <c r="V51" s="355"/>
      <c r="W51" s="356"/>
      <c r="X51" s="356"/>
      <c r="Y51" s="356"/>
      <c r="Z51" s="356"/>
      <c r="AA51" s="357"/>
      <c r="AB51" s="355"/>
      <c r="AC51" s="356"/>
      <c r="AD51" s="356"/>
      <c r="AE51" s="356"/>
      <c r="AF51" s="356"/>
      <c r="AG51" s="357"/>
      <c r="AH51" s="355"/>
      <c r="AI51" s="356"/>
      <c r="AJ51" s="356"/>
      <c r="AK51" s="356"/>
      <c r="AL51" s="356"/>
      <c r="AM51" s="357"/>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x14ac:dyDescent="0.2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x14ac:dyDescent="0.2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row>
    <row r="63" spans="1:80"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row>
    <row r="64" spans="1:80"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row>
    <row r="65" spans="1:8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row>
    <row r="66" spans="1:8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row>
    <row r="67" spans="1:8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row>
    <row r="68" spans="1:8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row>
    <row r="69" spans="1:8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row>
    <row r="70" spans="1:8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row>
    <row r="71" spans="1:8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row>
    <row r="72" spans="1:8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row>
    <row r="73" spans="1:8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row>
    <row r="74" spans="1:8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row>
    <row r="75" spans="1:8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row>
    <row r="76" spans="1:8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row>
    <row r="77" spans="1:8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row>
    <row r="79" spans="1:8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row>
    <row r="80" spans="1:8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row>
    <row r="81" spans="1:63"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row>
    <row r="82" spans="1:63"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row>
    <row r="83" spans="1:63"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row>
    <row r="84" spans="1:63"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row>
    <row r="85" spans="1:63"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row>
    <row r="86" spans="1:63"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row>
    <row r="87" spans="1:63"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row>
    <row r="88" spans="1:63"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row>
    <row r="89" spans="1:63"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row>
    <row r="90" spans="1:63"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row>
    <row r="91" spans="1:63"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63"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row>
    <row r="93" spans="1:63"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row>
    <row r="94" spans="1:63"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row>
    <row r="95" spans="1:63"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row>
    <row r="96" spans="1:63"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row>
    <row r="97" spans="1:63"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row>
    <row r="98" spans="1:63"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row>
    <row r="99" spans="1:63"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row>
    <row r="100" spans="1:63"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row>
    <row r="101" spans="1:63"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row>
    <row r="102" spans="1:63"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row>
    <row r="103" spans="1:63"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row>
    <row r="104" spans="1:63"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row>
    <row r="105" spans="1:63"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row>
    <row r="106" spans="1:63"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row>
    <row r="107" spans="1:63"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row>
    <row r="108" spans="1:63"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row>
    <row r="109" spans="1:63"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row>
    <row r="110" spans="1:63"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row>
    <row r="111" spans="1:63"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row>
    <row r="112" spans="1:63"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row>
    <row r="113" spans="1:63"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row>
    <row r="114" spans="1:63"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row>
    <row r="115" spans="1:63"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row>
    <row r="116" spans="1:63"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row>
    <row r="117" spans="1:63"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row>
    <row r="118" spans="1:63"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row>
    <row r="119" spans="1:63"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row>
    <row r="120" spans="1:63"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row>
    <row r="121" spans="1:63"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row>
    <row r="122" spans="1:63" x14ac:dyDescent="0.2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row>
    <row r="123" spans="1:63" x14ac:dyDescent="0.2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row>
    <row r="124" spans="1:63" x14ac:dyDescent="0.2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row>
    <row r="125" spans="1:63" x14ac:dyDescent="0.2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row>
    <row r="126" spans="1:63" x14ac:dyDescent="0.2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row>
    <row r="127" spans="1:63" x14ac:dyDescent="0.2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row>
    <row r="128" spans="1:63" x14ac:dyDescent="0.2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row>
    <row r="129" spans="2:63" x14ac:dyDescent="0.2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row>
    <row r="130" spans="2:63" x14ac:dyDescent="0.2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row>
    <row r="131" spans="2:63" x14ac:dyDescent="0.2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row>
    <row r="132" spans="2:63" x14ac:dyDescent="0.2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row>
    <row r="133" spans="2:63" x14ac:dyDescent="0.2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row>
    <row r="134" spans="2:63" x14ac:dyDescent="0.2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row>
    <row r="135" spans="2:63" x14ac:dyDescent="0.2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row>
    <row r="136" spans="2:63" x14ac:dyDescent="0.2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row>
    <row r="137" spans="2:63" x14ac:dyDescent="0.25">
      <c r="B137" s="70"/>
      <c r="C137" s="70"/>
      <c r="D137" s="70"/>
      <c r="E137" s="70"/>
      <c r="F137" s="70"/>
      <c r="G137" s="70"/>
      <c r="H137" s="70"/>
      <c r="I137" s="70"/>
    </row>
    <row r="138" spans="2:63" x14ac:dyDescent="0.25">
      <c r="B138" s="70"/>
      <c r="C138" s="70"/>
      <c r="D138" s="70"/>
      <c r="E138" s="70"/>
      <c r="F138" s="70"/>
      <c r="G138" s="70"/>
      <c r="H138" s="70"/>
      <c r="I138" s="70"/>
    </row>
    <row r="139" spans="2:63" x14ac:dyDescent="0.25">
      <c r="B139" s="70"/>
      <c r="C139" s="70"/>
      <c r="D139" s="70"/>
      <c r="E139" s="70"/>
      <c r="F139" s="70"/>
      <c r="G139" s="70"/>
      <c r="H139" s="70"/>
      <c r="I139" s="70"/>
    </row>
    <row r="140" spans="2:63" x14ac:dyDescent="0.25">
      <c r="B140" s="70"/>
      <c r="C140" s="70"/>
      <c r="D140" s="70"/>
      <c r="E140" s="70"/>
      <c r="F140" s="70"/>
      <c r="G140" s="70"/>
      <c r="H140" s="70"/>
      <c r="I140" s="7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7" zoomScale="50" zoomScaleNormal="50" workbookViewId="0">
      <selection activeCell="Y49" sqref="Y4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row>
    <row r="2" spans="1:91" ht="18" customHeight="1" x14ac:dyDescent="0.25">
      <c r="A2" s="70"/>
      <c r="B2" s="428" t="s">
        <v>159</v>
      </c>
      <c r="C2" s="429"/>
      <c r="D2" s="429"/>
      <c r="E2" s="429"/>
      <c r="F2" s="429"/>
      <c r="G2" s="429"/>
      <c r="H2" s="429"/>
      <c r="I2" s="429"/>
      <c r="J2" s="348" t="s">
        <v>2</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row>
    <row r="3" spans="1:91" ht="18.75" customHeight="1" x14ac:dyDescent="0.25">
      <c r="A3" s="70"/>
      <c r="B3" s="429"/>
      <c r="C3" s="429"/>
      <c r="D3" s="429"/>
      <c r="E3" s="429"/>
      <c r="F3" s="429"/>
      <c r="G3" s="429"/>
      <c r="H3" s="429"/>
      <c r="I3" s="429"/>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ht="15" customHeight="1" x14ac:dyDescent="0.25">
      <c r="A4" s="70"/>
      <c r="B4" s="429"/>
      <c r="C4" s="429"/>
      <c r="D4" s="429"/>
      <c r="E4" s="429"/>
      <c r="F4" s="429"/>
      <c r="G4" s="429"/>
      <c r="H4" s="429"/>
      <c r="I4" s="429"/>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row>
    <row r="5" spans="1:91"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91" ht="15" customHeight="1" x14ac:dyDescent="0.25">
      <c r="A6" s="70"/>
      <c r="B6" s="360" t="s">
        <v>4</v>
      </c>
      <c r="C6" s="360"/>
      <c r="D6" s="361"/>
      <c r="E6" s="398" t="s">
        <v>116</v>
      </c>
      <c r="F6" s="399"/>
      <c r="G6" s="399"/>
      <c r="H6" s="399"/>
      <c r="I6" s="400"/>
      <c r="J6" s="32" t="str">
        <f>IF(AND('Mapa final'!$Y$10="Muy Alta",'Mapa final'!$AA$10="Leve"),CONCATENATE("R1C",'Mapa final'!$O$10),"")</f>
        <v/>
      </c>
      <c r="K6" s="33" t="str">
        <f>IF(AND('Mapa final'!$Y$11="Muy Alta",'Mapa final'!$AA$11="Leve"),CONCATENATE("R1C",'Mapa final'!$O$11),"")</f>
        <v/>
      </c>
      <c r="L6" s="33" t="str">
        <f>IF(AND('Mapa final'!$Y$12="Muy Alta",'Mapa final'!$AA$12="Leve"),CONCATENATE("R1C",'Mapa final'!$O$12),"")</f>
        <v/>
      </c>
      <c r="M6" s="33" t="str">
        <f>IF(AND('Mapa final'!$Y$13="Muy Alta",'Mapa final'!$AA$13="Leve"),CONCATENATE("R1C",'Mapa final'!$O$13),"")</f>
        <v/>
      </c>
      <c r="N6" s="33" t="str">
        <f>IF(AND('Mapa final'!$Y$14="Muy Alta",'Mapa final'!$AA$14="Leve"),CONCATENATE("R1C",'Mapa final'!$O$14),"")</f>
        <v/>
      </c>
      <c r="O6" s="34" t="str">
        <f>IF(AND('Mapa final'!$Y$15="Muy Alta",'Mapa final'!$AA$15="Leve"),CONCATENATE("R1C",'Mapa final'!$O$15),"")</f>
        <v/>
      </c>
      <c r="P6" s="32" t="str">
        <f>IF(AND('Mapa final'!$Y$10="Muy Alta",'Mapa final'!$AA$10="Menor"),CONCATENATE("R1C",'Mapa final'!$O$10),"")</f>
        <v/>
      </c>
      <c r="Q6" s="33" t="str">
        <f>IF(AND('Mapa final'!$Y$11="Muy Alta",'Mapa final'!$AA$11="Menor"),CONCATENATE("R1C",'Mapa final'!$O$11),"")</f>
        <v/>
      </c>
      <c r="R6" s="33" t="str">
        <f>IF(AND('Mapa final'!$Y$12="Muy Alta",'Mapa final'!$AA$12="Menor"),CONCATENATE("R1C",'Mapa final'!$O$12),"")</f>
        <v/>
      </c>
      <c r="S6" s="33" t="str">
        <f>IF(AND('Mapa final'!$Y$13="Muy Alta",'Mapa final'!$AA$13="Menor"),CONCATENATE("R1C",'Mapa final'!$O$13),"")</f>
        <v/>
      </c>
      <c r="T6" s="33" t="str">
        <f>IF(AND('Mapa final'!$Y$14="Muy Alta",'Mapa final'!$AA$14="Menor"),CONCATENATE("R1C",'Mapa final'!$O$14),"")</f>
        <v/>
      </c>
      <c r="U6" s="34" t="str">
        <f>IF(AND('Mapa final'!$Y$15="Muy Alta",'Mapa final'!$AA$15="Menor"),CONCATENATE("R1C",'Mapa final'!$O$15),"")</f>
        <v/>
      </c>
      <c r="V6" s="32" t="str">
        <f>IF(AND('Mapa final'!$Y$10="Muy Alta",'Mapa final'!$AA$10="Moderado"),CONCATENATE("R1C",'Mapa final'!$O$10),"")</f>
        <v/>
      </c>
      <c r="W6" s="33" t="str">
        <f>IF(AND('Mapa final'!$Y$11="Muy Alta",'Mapa final'!$AA$11="Moderado"),CONCATENATE("R1C",'Mapa final'!$O$11),"")</f>
        <v/>
      </c>
      <c r="X6" s="33" t="str">
        <f>IF(AND('Mapa final'!$Y$12="Muy Alta",'Mapa final'!$AA$12="Moderado"),CONCATENATE("R1C",'Mapa final'!$O$12),"")</f>
        <v/>
      </c>
      <c r="Y6" s="33" t="str">
        <f>IF(AND('Mapa final'!$Y$13="Muy Alta",'Mapa final'!$AA$13="Moderado"),CONCATENATE("R1C",'Mapa final'!$O$13),"")</f>
        <v/>
      </c>
      <c r="Z6" s="33" t="str">
        <f>IF(AND('Mapa final'!$Y$14="Muy Alta",'Mapa final'!$AA$14="Moderado"),CONCATENATE("R1C",'Mapa final'!$O$14),"")</f>
        <v/>
      </c>
      <c r="AA6" s="34" t="str">
        <f>IF(AND('Mapa final'!$Y$15="Muy Alta",'Mapa final'!$AA$15="Moderado"),CONCATENATE("R1C",'Mapa final'!$O$15),"")</f>
        <v/>
      </c>
      <c r="AB6" s="32" t="str">
        <f>IF(AND('Mapa final'!$Y$10="Muy Alta",'Mapa final'!$AA$10="Mayor"),CONCATENATE("R1C",'Mapa final'!$O$10),"")</f>
        <v/>
      </c>
      <c r="AC6" s="33" t="str">
        <f>IF(AND('Mapa final'!$Y$11="Muy Alta",'Mapa final'!$AA$11="Mayor"),CONCATENATE("R1C",'Mapa final'!$O$11),"")</f>
        <v/>
      </c>
      <c r="AD6" s="33" t="str">
        <f>IF(AND('Mapa final'!$Y$12="Muy Alta",'Mapa final'!$AA$12="Mayor"),CONCATENATE("R1C",'Mapa final'!$O$12),"")</f>
        <v/>
      </c>
      <c r="AE6" s="33" t="str">
        <f>IF(AND('Mapa final'!$Y$13="Muy Alta",'Mapa final'!$AA$13="Mayor"),CONCATENATE("R1C",'Mapa final'!$O$13),"")</f>
        <v/>
      </c>
      <c r="AF6" s="33" t="str">
        <f>IF(AND('Mapa final'!$Y$14="Muy Alta",'Mapa final'!$AA$14="Mayor"),CONCATENATE("R1C",'Mapa final'!$O$14),"")</f>
        <v/>
      </c>
      <c r="AG6" s="34" t="str">
        <f>IF(AND('Mapa final'!$Y$15="Muy Alta",'Mapa final'!$AA$15="Mayor"),CONCATENATE("R1C",'Mapa final'!$O$15),"")</f>
        <v/>
      </c>
      <c r="AH6" s="35" t="str">
        <f>IF(AND('Mapa final'!$Y$10="Muy Alta",'Mapa final'!$AA$10="Catastrófico"),CONCATENATE("R1C",'Mapa final'!$O$10),"")</f>
        <v/>
      </c>
      <c r="AI6" s="36" t="str">
        <f>IF(AND('Mapa final'!$Y$11="Muy Alta",'Mapa final'!$AA$11="Catastrófico"),CONCATENATE("R1C",'Mapa final'!$O$11),"")</f>
        <v/>
      </c>
      <c r="AJ6" s="36" t="str">
        <f>IF(AND('Mapa final'!$Y$12="Muy Alta",'Mapa final'!$AA$12="Catastrófico"),CONCATENATE("R1C",'Mapa final'!$O$12),"")</f>
        <v/>
      </c>
      <c r="AK6" s="36" t="str">
        <f>IF(AND('Mapa final'!$Y$13="Muy Alta",'Mapa final'!$AA$13="Catastrófico"),CONCATENATE("R1C",'Mapa final'!$O$13),"")</f>
        <v/>
      </c>
      <c r="AL6" s="36" t="str">
        <f>IF(AND('Mapa final'!$Y$14="Muy Alta",'Mapa final'!$AA$14="Catastrófico"),CONCATENATE("R1C",'Mapa final'!$O$14),"")</f>
        <v/>
      </c>
      <c r="AM6" s="37" t="str">
        <f>IF(AND('Mapa final'!$Y$15="Muy Alta",'Mapa final'!$AA$15="Catastrófico"),CONCATENATE("R1C",'Mapa final'!$O$15),"")</f>
        <v/>
      </c>
      <c r="AN6" s="70"/>
      <c r="AO6" s="419" t="s">
        <v>79</v>
      </c>
      <c r="AP6" s="420"/>
      <c r="AQ6" s="420"/>
      <c r="AR6" s="420"/>
      <c r="AS6" s="420"/>
      <c r="AT6" s="421"/>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row>
    <row r="7" spans="1:91" ht="15" customHeight="1" x14ac:dyDescent="0.25">
      <c r="A7" s="70"/>
      <c r="B7" s="360"/>
      <c r="C7" s="360"/>
      <c r="D7" s="361"/>
      <c r="E7" s="401"/>
      <c r="F7" s="402"/>
      <c r="G7" s="402"/>
      <c r="H7" s="402"/>
      <c r="I7" s="403"/>
      <c r="J7" s="38" t="str">
        <f>IF(AND('Mapa final'!$Y$16="Muy Alta",'Mapa final'!$AA$16="Leve"),CONCATENATE("R2C",'Mapa final'!$O$16),"")</f>
        <v/>
      </c>
      <c r="K7" s="39" t="str">
        <f>IF(AND('Mapa final'!$Y$17="Muy Alta",'Mapa final'!$AA$17="Leve"),CONCATENATE("R2C",'Mapa final'!$O$17),"")</f>
        <v/>
      </c>
      <c r="L7" s="39" t="str">
        <f>IF(AND('Mapa final'!$Y$18="Muy Alta",'Mapa final'!$AA$18="Leve"),CONCATENATE("R2C",'Mapa final'!$O$18),"")</f>
        <v/>
      </c>
      <c r="M7" s="39" t="str">
        <f>IF(AND('Mapa final'!$Y$19="Muy Alta",'Mapa final'!$AA$19="Leve"),CONCATENATE("R2C",'Mapa final'!$O$19),"")</f>
        <v/>
      </c>
      <c r="N7" s="39" t="str">
        <f>IF(AND('Mapa final'!$Y$20="Muy Alta",'Mapa final'!$AA$20="Leve"),CONCATENATE("R2C",'Mapa final'!$O$20),"")</f>
        <v/>
      </c>
      <c r="O7" s="40" t="str">
        <f>IF(AND('Mapa final'!$Y$21="Muy Alta",'Mapa final'!$AA$21="Leve"),CONCATENATE("R2C",'Mapa final'!$O$21),"")</f>
        <v/>
      </c>
      <c r="P7" s="38" t="str">
        <f>IF(AND('Mapa final'!$Y$16="Muy Alta",'Mapa final'!$AA$16="Menor"),CONCATENATE("R2C",'Mapa final'!$O$16),"")</f>
        <v/>
      </c>
      <c r="Q7" s="39" t="str">
        <f>IF(AND('Mapa final'!$Y$17="Muy Alta",'Mapa final'!$AA$17="Menor"),CONCATENATE("R2C",'Mapa final'!$O$17),"")</f>
        <v/>
      </c>
      <c r="R7" s="39" t="str">
        <f>IF(AND('Mapa final'!$Y$18="Muy Alta",'Mapa final'!$AA$18="Menor"),CONCATENATE("R2C",'Mapa final'!$O$18),"")</f>
        <v/>
      </c>
      <c r="S7" s="39" t="str">
        <f>IF(AND('Mapa final'!$Y$19="Muy Alta",'Mapa final'!$AA$19="Menor"),CONCATENATE("R2C",'Mapa final'!$O$19),"")</f>
        <v/>
      </c>
      <c r="T7" s="39" t="str">
        <f>IF(AND('Mapa final'!$Y$20="Muy Alta",'Mapa final'!$AA$20="Menor"),CONCATENATE("R2C",'Mapa final'!$O$20),"")</f>
        <v/>
      </c>
      <c r="U7" s="40" t="str">
        <f>IF(AND('Mapa final'!$Y$21="Muy Alta",'Mapa final'!$AA$21="Menor"),CONCATENATE("R2C",'Mapa final'!$O$21),"")</f>
        <v/>
      </c>
      <c r="V7" s="38" t="str">
        <f>IF(AND('Mapa final'!$Y$16="Muy Alta",'Mapa final'!$AA$16="Moderado"),CONCATENATE("R2C",'Mapa final'!$O$16),"")</f>
        <v/>
      </c>
      <c r="W7" s="39" t="str">
        <f>IF(AND('Mapa final'!$Y$17="Muy Alta",'Mapa final'!$AA$17="Moderado"),CONCATENATE("R2C",'Mapa final'!$O$17),"")</f>
        <v/>
      </c>
      <c r="X7" s="39" t="str">
        <f>IF(AND('Mapa final'!$Y$18="Muy Alta",'Mapa final'!$AA$18="Moderado"),CONCATENATE("R2C",'Mapa final'!$O$18),"")</f>
        <v/>
      </c>
      <c r="Y7" s="39" t="str">
        <f>IF(AND('Mapa final'!$Y$19="Muy Alta",'Mapa final'!$AA$19="Moderado"),CONCATENATE("R2C",'Mapa final'!$O$19),"")</f>
        <v/>
      </c>
      <c r="Z7" s="39" t="str">
        <f>IF(AND('Mapa final'!$Y$20="Muy Alta",'Mapa final'!$AA$20="Moderado"),CONCATENATE("R2C",'Mapa final'!$O$20),"")</f>
        <v/>
      </c>
      <c r="AA7" s="40" t="str">
        <f>IF(AND('Mapa final'!$Y$21="Muy Alta",'Mapa final'!$AA$21="Moderado"),CONCATENATE("R2C",'Mapa final'!$O$21),"")</f>
        <v/>
      </c>
      <c r="AB7" s="38" t="str">
        <f>IF(AND('Mapa final'!$Y$16="Muy Alta",'Mapa final'!$AA$16="Mayor"),CONCATENATE("R2C",'Mapa final'!$O$16),"")</f>
        <v/>
      </c>
      <c r="AC7" s="39" t="str">
        <f>IF(AND('Mapa final'!$Y$17="Muy Alta",'Mapa final'!$AA$17="Mayor"),CONCATENATE("R2C",'Mapa final'!$O$17),"")</f>
        <v/>
      </c>
      <c r="AD7" s="39" t="str">
        <f>IF(AND('Mapa final'!$Y$18="Muy Alta",'Mapa final'!$AA$18="Mayor"),CONCATENATE("R2C",'Mapa final'!$O$18),"")</f>
        <v/>
      </c>
      <c r="AE7" s="39" t="str">
        <f>IF(AND('Mapa final'!$Y$19="Muy Alta",'Mapa final'!$AA$19="Mayor"),CONCATENATE("R2C",'Mapa final'!$O$19),"")</f>
        <v/>
      </c>
      <c r="AF7" s="39" t="str">
        <f>IF(AND('Mapa final'!$Y$20="Muy Alta",'Mapa final'!$AA$20="Mayor"),CONCATENATE("R2C",'Mapa final'!$O$20),"")</f>
        <v/>
      </c>
      <c r="AG7" s="40" t="str">
        <f>IF(AND('Mapa final'!$Y$21="Muy Alta",'Mapa final'!$AA$21="Mayor"),CONCATENATE("R2C",'Mapa final'!$O$21),"")</f>
        <v/>
      </c>
      <c r="AH7" s="41" t="str">
        <f>IF(AND('Mapa final'!$Y$16="Muy Alta",'Mapa final'!$AA$16="Catastrófico"),CONCATENATE("R2C",'Mapa final'!$O$16),"")</f>
        <v/>
      </c>
      <c r="AI7" s="42" t="str">
        <f>IF(AND('Mapa final'!$Y$17="Muy Alta",'Mapa final'!$AA$17="Catastrófico"),CONCATENATE("R2C",'Mapa final'!$O$17),"")</f>
        <v/>
      </c>
      <c r="AJ7" s="42" t="str">
        <f>IF(AND('Mapa final'!$Y$18="Muy Alta",'Mapa final'!$AA$18="Catastrófico"),CONCATENATE("R2C",'Mapa final'!$O$18),"")</f>
        <v/>
      </c>
      <c r="AK7" s="42" t="str">
        <f>IF(AND('Mapa final'!$Y$19="Muy Alta",'Mapa final'!$AA$19="Catastrófico"),CONCATENATE("R2C",'Mapa final'!$O$19),"")</f>
        <v/>
      </c>
      <c r="AL7" s="42" t="str">
        <f>IF(AND('Mapa final'!$Y$20="Muy Alta",'Mapa final'!$AA$20="Catastrófico"),CONCATENATE("R2C",'Mapa final'!$O$20),"")</f>
        <v/>
      </c>
      <c r="AM7" s="43" t="str">
        <f>IF(AND('Mapa final'!$Y$21="Muy Alta",'Mapa final'!$AA$21="Catastrófico"),CONCATENATE("R2C",'Mapa final'!$O$21),"")</f>
        <v/>
      </c>
      <c r="AN7" s="70"/>
      <c r="AO7" s="422"/>
      <c r="AP7" s="423"/>
      <c r="AQ7" s="423"/>
      <c r="AR7" s="423"/>
      <c r="AS7" s="423"/>
      <c r="AT7" s="424"/>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row>
    <row r="8" spans="1:91" ht="15" customHeight="1" x14ac:dyDescent="0.25">
      <c r="A8" s="70"/>
      <c r="B8" s="360"/>
      <c r="C8" s="360"/>
      <c r="D8" s="361"/>
      <c r="E8" s="401"/>
      <c r="F8" s="402"/>
      <c r="G8" s="402"/>
      <c r="H8" s="402"/>
      <c r="I8" s="403"/>
      <c r="J8" s="38" t="str">
        <f>IF(AND('Mapa final'!$Y$22="Muy Alta",'Mapa final'!$AA$22="Leve"),CONCATENATE("R3C",'Mapa final'!$O$22),"")</f>
        <v/>
      </c>
      <c r="K8" s="39" t="str">
        <f>IF(AND('Mapa final'!$Y$23="Muy Alta",'Mapa final'!$AA$23="Leve"),CONCATENATE("R3C",'Mapa final'!$O$23),"")</f>
        <v/>
      </c>
      <c r="L8" s="39" t="str">
        <f>IF(AND('Mapa final'!$Y$24="Muy Alta",'Mapa final'!$AA$24="Leve"),CONCATENATE("R3C",'Mapa final'!$O$24),"")</f>
        <v/>
      </c>
      <c r="M8" s="39" t="str">
        <f>IF(AND('Mapa final'!$Y$25="Muy Alta",'Mapa final'!$AA$25="Leve"),CONCATENATE("R3C",'Mapa final'!$O$25),"")</f>
        <v/>
      </c>
      <c r="N8" s="39" t="str">
        <f>IF(AND('Mapa final'!$Y$26="Muy Alta",'Mapa final'!$AA$26="Leve"),CONCATENATE("R3C",'Mapa final'!$O$26),"")</f>
        <v/>
      </c>
      <c r="O8" s="40" t="str">
        <f>IF(AND('Mapa final'!$Y$27="Muy Alta",'Mapa final'!$AA$27="Leve"),CONCATENATE("R3C",'Mapa final'!$O$27),"")</f>
        <v/>
      </c>
      <c r="P8" s="38" t="str">
        <f>IF(AND('Mapa final'!$Y$22="Muy Alta",'Mapa final'!$AA$22="Menor"),CONCATENATE("R3C",'Mapa final'!$O$22),"")</f>
        <v/>
      </c>
      <c r="Q8" s="39" t="str">
        <f>IF(AND('Mapa final'!$Y$23="Muy Alta",'Mapa final'!$AA$23="Menor"),CONCATENATE("R3C",'Mapa final'!$O$23),"")</f>
        <v/>
      </c>
      <c r="R8" s="39" t="str">
        <f>IF(AND('Mapa final'!$Y$24="Muy Alta",'Mapa final'!$AA$24="Menor"),CONCATENATE("R3C",'Mapa final'!$O$24),"")</f>
        <v/>
      </c>
      <c r="S8" s="39" t="str">
        <f>IF(AND('Mapa final'!$Y$25="Muy Alta",'Mapa final'!$AA$25="Menor"),CONCATENATE("R3C",'Mapa final'!$O$25),"")</f>
        <v/>
      </c>
      <c r="T8" s="39" t="str">
        <f>IF(AND('Mapa final'!$Y$26="Muy Alta",'Mapa final'!$AA$26="Menor"),CONCATENATE("R3C",'Mapa final'!$O$26),"")</f>
        <v/>
      </c>
      <c r="U8" s="40" t="str">
        <f>IF(AND('Mapa final'!$Y$27="Muy Alta",'Mapa final'!$AA$27="Menor"),CONCATENATE("R3C",'Mapa final'!$O$27),"")</f>
        <v/>
      </c>
      <c r="V8" s="38" t="str">
        <f>IF(AND('Mapa final'!$Y$22="Muy Alta",'Mapa final'!$AA$22="Moderado"),CONCATENATE("R3C",'Mapa final'!$O$22),"")</f>
        <v/>
      </c>
      <c r="W8" s="39" t="str">
        <f>IF(AND('Mapa final'!$Y$23="Muy Alta",'Mapa final'!$AA$23="Moderado"),CONCATENATE("R3C",'Mapa final'!$O$23),"")</f>
        <v/>
      </c>
      <c r="X8" s="39" t="str">
        <f>IF(AND('Mapa final'!$Y$24="Muy Alta",'Mapa final'!$AA$24="Moderado"),CONCATENATE("R3C",'Mapa final'!$O$24),"")</f>
        <v/>
      </c>
      <c r="Y8" s="39" t="str">
        <f>IF(AND('Mapa final'!$Y$25="Muy Alta",'Mapa final'!$AA$25="Moderado"),CONCATENATE("R3C",'Mapa final'!$O$25),"")</f>
        <v/>
      </c>
      <c r="Z8" s="39" t="str">
        <f>IF(AND('Mapa final'!$Y$26="Muy Alta",'Mapa final'!$AA$26="Moderado"),CONCATENATE("R3C",'Mapa final'!$O$26),"")</f>
        <v/>
      </c>
      <c r="AA8" s="40" t="str">
        <f>IF(AND('Mapa final'!$Y$27="Muy Alta",'Mapa final'!$AA$27="Moderado"),CONCATENATE("R3C",'Mapa final'!$O$27),"")</f>
        <v/>
      </c>
      <c r="AB8" s="38" t="str">
        <f>IF(AND('Mapa final'!$Y$22="Muy Alta",'Mapa final'!$AA$22="Mayor"),CONCATENATE("R3C",'Mapa final'!$O$22),"")</f>
        <v/>
      </c>
      <c r="AC8" s="39" t="str">
        <f>IF(AND('Mapa final'!$Y$23="Muy Alta",'Mapa final'!$AA$23="Mayor"),CONCATENATE("R3C",'Mapa final'!$O$23),"")</f>
        <v/>
      </c>
      <c r="AD8" s="39" t="str">
        <f>IF(AND('Mapa final'!$Y$24="Muy Alta",'Mapa final'!$AA$24="Mayor"),CONCATENATE("R3C",'Mapa final'!$O$24),"")</f>
        <v/>
      </c>
      <c r="AE8" s="39" t="str">
        <f>IF(AND('Mapa final'!$Y$25="Muy Alta",'Mapa final'!$AA$25="Mayor"),CONCATENATE("R3C",'Mapa final'!$O$25),"")</f>
        <v/>
      </c>
      <c r="AF8" s="39" t="str">
        <f>IF(AND('Mapa final'!$Y$26="Muy Alta",'Mapa final'!$AA$26="Mayor"),CONCATENATE("R3C",'Mapa final'!$O$26),"")</f>
        <v/>
      </c>
      <c r="AG8" s="40" t="str">
        <f>IF(AND('Mapa final'!$Y$27="Muy Alta",'Mapa final'!$AA$27="Mayor"),CONCATENATE("R3C",'Mapa final'!$O$27),"")</f>
        <v/>
      </c>
      <c r="AH8" s="41" t="str">
        <f>IF(AND('Mapa final'!$Y$22="Muy Alta",'Mapa final'!$AA$22="Catastrófico"),CONCATENATE("R3C",'Mapa final'!$O$22),"")</f>
        <v/>
      </c>
      <c r="AI8" s="42" t="str">
        <f>IF(AND('Mapa final'!$Y$23="Muy Alta",'Mapa final'!$AA$23="Catastrófico"),CONCATENATE("R3C",'Mapa final'!$O$23),"")</f>
        <v/>
      </c>
      <c r="AJ8" s="42" t="str">
        <f>IF(AND('Mapa final'!$Y$24="Muy Alta",'Mapa final'!$AA$24="Catastrófico"),CONCATENATE("R3C",'Mapa final'!$O$24),"")</f>
        <v/>
      </c>
      <c r="AK8" s="42" t="str">
        <f>IF(AND('Mapa final'!$Y$25="Muy Alta",'Mapa final'!$AA$25="Catastrófico"),CONCATENATE("R3C",'Mapa final'!$O$25),"")</f>
        <v/>
      </c>
      <c r="AL8" s="42" t="str">
        <f>IF(AND('Mapa final'!$Y$26="Muy Alta",'Mapa final'!$AA$26="Catastrófico"),CONCATENATE("R3C",'Mapa final'!$O$26),"")</f>
        <v/>
      </c>
      <c r="AM8" s="43" t="str">
        <f>IF(AND('Mapa final'!$Y$27="Muy Alta",'Mapa final'!$AA$27="Catastrófico"),CONCATENATE("R3C",'Mapa final'!$O$27),"")</f>
        <v/>
      </c>
      <c r="AN8" s="70"/>
      <c r="AO8" s="422"/>
      <c r="AP8" s="423"/>
      <c r="AQ8" s="423"/>
      <c r="AR8" s="423"/>
      <c r="AS8" s="423"/>
      <c r="AT8" s="424"/>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row>
    <row r="9" spans="1:91" ht="15" customHeight="1" x14ac:dyDescent="0.25">
      <c r="A9" s="70"/>
      <c r="B9" s="360"/>
      <c r="C9" s="360"/>
      <c r="D9" s="361"/>
      <c r="E9" s="401"/>
      <c r="F9" s="402"/>
      <c r="G9" s="402"/>
      <c r="H9" s="402"/>
      <c r="I9" s="403"/>
      <c r="J9" s="38" t="str">
        <f>IF(AND('Mapa final'!$Y$28="Muy Alta",'Mapa final'!$AA$28="Leve"),CONCATENATE("R4C",'Mapa final'!$O$28),"")</f>
        <v/>
      </c>
      <c r="K9" s="39" t="str">
        <f>IF(AND('Mapa final'!$Y$29="Muy Alta",'Mapa final'!$AA$29="Leve"),CONCATENATE("R4C",'Mapa final'!$O$29),"")</f>
        <v/>
      </c>
      <c r="L9" s="44" t="str">
        <f>IF(AND('Mapa final'!$Y$30="Muy Alta",'Mapa final'!$AA$30="Leve"),CONCATENATE("R4C",'Mapa final'!$O$30),"")</f>
        <v/>
      </c>
      <c r="M9" s="44" t="str">
        <f>IF(AND('Mapa final'!$Y$31="Muy Alta",'Mapa final'!$AA$31="Leve"),CONCATENATE("R4C",'Mapa final'!$O$31),"")</f>
        <v/>
      </c>
      <c r="N9" s="44" t="str">
        <f>IF(AND('Mapa final'!$Y$32="Muy Alta",'Mapa final'!$AA$32="Leve"),CONCATENATE("R4C",'Mapa final'!$O$32),"")</f>
        <v/>
      </c>
      <c r="O9" s="40" t="str">
        <f>IF(AND('Mapa final'!$Y$33="Muy Alta",'Mapa final'!$AA$33="Leve"),CONCATENATE("R4C",'Mapa final'!$O$33),"")</f>
        <v/>
      </c>
      <c r="P9" s="38" t="str">
        <f>IF(AND('Mapa final'!$Y$28="Muy Alta",'Mapa final'!$AA$28="Menor"),CONCATENATE("R4C",'Mapa final'!$O$28),"")</f>
        <v/>
      </c>
      <c r="Q9" s="39" t="str">
        <f>IF(AND('Mapa final'!$Y$29="Muy Alta",'Mapa final'!$AA$29="Menor"),CONCATENATE("R4C",'Mapa final'!$O$29),"")</f>
        <v/>
      </c>
      <c r="R9" s="44" t="str">
        <f>IF(AND('Mapa final'!$Y$30="Muy Alta",'Mapa final'!$AA$30="Menor"),CONCATENATE("R4C",'Mapa final'!$O$30),"")</f>
        <v/>
      </c>
      <c r="S9" s="44" t="str">
        <f>IF(AND('Mapa final'!$Y$31="Muy Alta",'Mapa final'!$AA$31="Menor"),CONCATENATE("R4C",'Mapa final'!$O$31),"")</f>
        <v/>
      </c>
      <c r="T9" s="44" t="str">
        <f>IF(AND('Mapa final'!$Y$32="Muy Alta",'Mapa final'!$AA$32="Menor"),CONCATENATE("R4C",'Mapa final'!$O$32),"")</f>
        <v/>
      </c>
      <c r="U9" s="40" t="str">
        <f>IF(AND('Mapa final'!$Y$33="Muy Alta",'Mapa final'!$AA$33="Menor"),CONCATENATE("R4C",'Mapa final'!$O$33),"")</f>
        <v/>
      </c>
      <c r="V9" s="38" t="str">
        <f>IF(AND('Mapa final'!$Y$28="Muy Alta",'Mapa final'!$AA$28="Moderado"),CONCATENATE("R4C",'Mapa final'!$O$28),"")</f>
        <v/>
      </c>
      <c r="W9" s="39" t="str">
        <f>IF(AND('Mapa final'!$Y$29="Muy Alta",'Mapa final'!$AA$29="Moderado"),CONCATENATE("R4C",'Mapa final'!$O$29),"")</f>
        <v/>
      </c>
      <c r="X9" s="44" t="str">
        <f>IF(AND('Mapa final'!$Y$30="Muy Alta",'Mapa final'!$AA$30="Moderado"),CONCATENATE("R4C",'Mapa final'!$O$30),"")</f>
        <v/>
      </c>
      <c r="Y9" s="44" t="str">
        <f>IF(AND('Mapa final'!$Y$31="Muy Alta",'Mapa final'!$AA$31="Moderado"),CONCATENATE("R4C",'Mapa final'!$O$31),"")</f>
        <v/>
      </c>
      <c r="Z9" s="44" t="str">
        <f>IF(AND('Mapa final'!$Y$32="Muy Alta",'Mapa final'!$AA$32="Moderado"),CONCATENATE("R4C",'Mapa final'!$O$32),"")</f>
        <v/>
      </c>
      <c r="AA9" s="40" t="str">
        <f>IF(AND('Mapa final'!$Y$33="Muy Alta",'Mapa final'!$AA$33="Moderado"),CONCATENATE("R4C",'Mapa final'!$O$33),"")</f>
        <v/>
      </c>
      <c r="AB9" s="38" t="str">
        <f>IF(AND('Mapa final'!$Y$28="Muy Alta",'Mapa final'!$AA$28="Mayor"),CONCATENATE("R4C",'Mapa final'!$O$28),"")</f>
        <v/>
      </c>
      <c r="AC9" s="39" t="str">
        <f>IF(AND('Mapa final'!$Y$29="Muy Alta",'Mapa final'!$AA$29="Mayor"),CONCATENATE("R4C",'Mapa final'!$O$29),"")</f>
        <v/>
      </c>
      <c r="AD9" s="44" t="str">
        <f>IF(AND('Mapa final'!$Y$30="Muy Alta",'Mapa final'!$AA$30="Mayor"),CONCATENATE("R4C",'Mapa final'!$O$30),"")</f>
        <v/>
      </c>
      <c r="AE9" s="44" t="str">
        <f>IF(AND('Mapa final'!$Y$31="Muy Alta",'Mapa final'!$AA$31="Mayor"),CONCATENATE("R4C",'Mapa final'!$O$31),"")</f>
        <v/>
      </c>
      <c r="AF9" s="44" t="str">
        <f>IF(AND('Mapa final'!$Y$32="Muy Alta",'Mapa final'!$AA$32="Mayor"),CONCATENATE("R4C",'Mapa final'!$O$32),"")</f>
        <v/>
      </c>
      <c r="AG9" s="40" t="str">
        <f>IF(AND('Mapa final'!$Y$33="Muy Alta",'Mapa final'!$AA$33="Mayor"),CONCATENATE("R4C",'Mapa final'!$O$33),"")</f>
        <v/>
      </c>
      <c r="AH9" s="41" t="str">
        <f>IF(AND('Mapa final'!$Y$28="Muy Alta",'Mapa final'!$AA$28="Catastrófico"),CONCATENATE("R4C",'Mapa final'!$O$28),"")</f>
        <v/>
      </c>
      <c r="AI9" s="42" t="str">
        <f>IF(AND('Mapa final'!$Y$29="Muy Alta",'Mapa final'!$AA$29="Catastrófico"),CONCATENATE("R4C",'Mapa final'!$O$29),"")</f>
        <v/>
      </c>
      <c r="AJ9" s="42" t="str">
        <f>IF(AND('Mapa final'!$Y$30="Muy Alta",'Mapa final'!$AA$30="Catastrófico"),CONCATENATE("R4C",'Mapa final'!$O$30),"")</f>
        <v/>
      </c>
      <c r="AK9" s="42" t="str">
        <f>IF(AND('Mapa final'!$Y$31="Muy Alta",'Mapa final'!$AA$31="Catastrófico"),CONCATENATE("R4C",'Mapa final'!$O$31),"")</f>
        <v/>
      </c>
      <c r="AL9" s="42" t="str">
        <f>IF(AND('Mapa final'!$Y$32="Muy Alta",'Mapa final'!$AA$32="Catastrófico"),CONCATENATE("R4C",'Mapa final'!$O$32),"")</f>
        <v/>
      </c>
      <c r="AM9" s="43" t="str">
        <f>IF(AND('Mapa final'!$Y$33="Muy Alta",'Mapa final'!$AA$33="Catastrófico"),CONCATENATE("R4C",'Mapa final'!$O$33),"")</f>
        <v/>
      </c>
      <c r="AN9" s="70"/>
      <c r="AO9" s="422"/>
      <c r="AP9" s="423"/>
      <c r="AQ9" s="423"/>
      <c r="AR9" s="423"/>
      <c r="AS9" s="423"/>
      <c r="AT9" s="424"/>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row>
    <row r="10" spans="1:91" ht="15" customHeight="1" x14ac:dyDescent="0.25">
      <c r="A10" s="70"/>
      <c r="B10" s="360"/>
      <c r="C10" s="360"/>
      <c r="D10" s="361"/>
      <c r="E10" s="401"/>
      <c r="F10" s="402"/>
      <c r="G10" s="402"/>
      <c r="H10" s="402"/>
      <c r="I10" s="403"/>
      <c r="J10" s="38" t="str">
        <f>IF(AND('Mapa final'!$Y$34="Muy Alta",'Mapa final'!$AA$34="Leve"),CONCATENATE("R5C",'Mapa final'!$O$34),"")</f>
        <v/>
      </c>
      <c r="K10" s="39" t="str">
        <f>IF(AND('Mapa final'!$Y$35="Muy Alta",'Mapa final'!$AA$35="Leve"),CONCATENATE("R5C",'Mapa final'!$O$35),"")</f>
        <v/>
      </c>
      <c r="L10" s="44" t="str">
        <f>IF(AND('Mapa final'!$Y$36="Muy Alta",'Mapa final'!$AA$36="Leve"),CONCATENATE("R5C",'Mapa final'!$O$36),"")</f>
        <v/>
      </c>
      <c r="M10" s="44" t="str">
        <f>IF(AND('Mapa final'!$Y$37="Muy Alta",'Mapa final'!$AA$37="Leve"),CONCATENATE("R5C",'Mapa final'!$O$37),"")</f>
        <v/>
      </c>
      <c r="N10" s="44" t="str">
        <f>IF(AND('Mapa final'!$Y$38="Muy Alta",'Mapa final'!$AA$38="Leve"),CONCATENATE("R5C",'Mapa final'!$O$38),"")</f>
        <v/>
      </c>
      <c r="O10" s="40" t="str">
        <f>IF(AND('Mapa final'!$Y$39="Muy Alta",'Mapa final'!$AA$39="Leve"),CONCATENATE("R5C",'Mapa final'!$O$39),"")</f>
        <v/>
      </c>
      <c r="P10" s="38" t="str">
        <f>IF(AND('Mapa final'!$Y$34="Muy Alta",'Mapa final'!$AA$34="Menor"),CONCATENATE("R5C",'Mapa final'!$O$34),"")</f>
        <v/>
      </c>
      <c r="Q10" s="39" t="str">
        <f>IF(AND('Mapa final'!$Y$35="Muy Alta",'Mapa final'!$AA$35="Menor"),CONCATENATE("R5C",'Mapa final'!$O$35),"")</f>
        <v/>
      </c>
      <c r="R10" s="44" t="str">
        <f>IF(AND('Mapa final'!$Y$36="Muy Alta",'Mapa final'!$AA$36="Menor"),CONCATENATE("R5C",'Mapa final'!$O$36),"")</f>
        <v/>
      </c>
      <c r="S10" s="44" t="str">
        <f>IF(AND('Mapa final'!$Y$37="Muy Alta",'Mapa final'!$AA$37="Menor"),CONCATENATE("R5C",'Mapa final'!$O$37),"")</f>
        <v/>
      </c>
      <c r="T10" s="44" t="str">
        <f>IF(AND('Mapa final'!$Y$38="Muy Alta",'Mapa final'!$AA$38="Menor"),CONCATENATE("R5C",'Mapa final'!$O$38),"")</f>
        <v/>
      </c>
      <c r="U10" s="40" t="str">
        <f>IF(AND('Mapa final'!$Y$39="Muy Alta",'Mapa final'!$AA$39="Menor"),CONCATENATE("R5C",'Mapa final'!$O$39),"")</f>
        <v/>
      </c>
      <c r="V10" s="38" t="str">
        <f>IF(AND('Mapa final'!$Y$34="Muy Alta",'Mapa final'!$AA$34="Moderado"),CONCATENATE("R5C",'Mapa final'!$O$34),"")</f>
        <v/>
      </c>
      <c r="W10" s="39" t="str">
        <f>IF(AND('Mapa final'!$Y$35="Muy Alta",'Mapa final'!$AA$35="Moderado"),CONCATENATE("R5C",'Mapa final'!$O$35),"")</f>
        <v/>
      </c>
      <c r="X10" s="44" t="str">
        <f>IF(AND('Mapa final'!$Y$36="Muy Alta",'Mapa final'!$AA$36="Moderado"),CONCATENATE("R5C",'Mapa final'!$O$36),"")</f>
        <v/>
      </c>
      <c r="Y10" s="44" t="str">
        <f>IF(AND('Mapa final'!$Y$37="Muy Alta",'Mapa final'!$AA$37="Moderado"),CONCATENATE("R5C",'Mapa final'!$O$37),"")</f>
        <v/>
      </c>
      <c r="Z10" s="44" t="str">
        <f>IF(AND('Mapa final'!$Y$38="Muy Alta",'Mapa final'!$AA$38="Moderado"),CONCATENATE("R5C",'Mapa final'!$O$38),"")</f>
        <v/>
      </c>
      <c r="AA10" s="40" t="str">
        <f>IF(AND('Mapa final'!$Y$39="Muy Alta",'Mapa final'!$AA$39="Moderado"),CONCATENATE("R5C",'Mapa final'!$O$39),"")</f>
        <v/>
      </c>
      <c r="AB10" s="38" t="str">
        <f>IF(AND('Mapa final'!$Y$34="Muy Alta",'Mapa final'!$AA$34="Mayor"),CONCATENATE("R5C",'Mapa final'!$O$34),"")</f>
        <v/>
      </c>
      <c r="AC10" s="39" t="str">
        <f>IF(AND('Mapa final'!$Y$35="Muy Alta",'Mapa final'!$AA$35="Mayor"),CONCATENATE("R5C",'Mapa final'!$O$35),"")</f>
        <v/>
      </c>
      <c r="AD10" s="44" t="str">
        <f>IF(AND('Mapa final'!$Y$36="Muy Alta",'Mapa final'!$AA$36="Mayor"),CONCATENATE("R5C",'Mapa final'!$O$36),"")</f>
        <v/>
      </c>
      <c r="AE10" s="44" t="str">
        <f>IF(AND('Mapa final'!$Y$37="Muy Alta",'Mapa final'!$AA$37="Mayor"),CONCATENATE("R5C",'Mapa final'!$O$37),"")</f>
        <v/>
      </c>
      <c r="AF10" s="44" t="str">
        <f>IF(AND('Mapa final'!$Y$38="Muy Alta",'Mapa final'!$AA$38="Mayor"),CONCATENATE("R5C",'Mapa final'!$O$38),"")</f>
        <v/>
      </c>
      <c r="AG10" s="40" t="str">
        <f>IF(AND('Mapa final'!$Y$39="Muy Alta",'Mapa final'!$AA$39="Mayor"),CONCATENATE("R5C",'Mapa final'!$O$39),"")</f>
        <v/>
      </c>
      <c r="AH10" s="41" t="str">
        <f>IF(AND('Mapa final'!$Y$34="Muy Alta",'Mapa final'!$AA$34="Catastrófico"),CONCATENATE("R5C",'Mapa final'!$O$34),"")</f>
        <v/>
      </c>
      <c r="AI10" s="42" t="str">
        <f>IF(AND('Mapa final'!$Y$35="Muy Alta",'Mapa final'!$AA$35="Catastrófico"),CONCATENATE("R5C",'Mapa final'!$O$35),"")</f>
        <v/>
      </c>
      <c r="AJ10" s="42" t="str">
        <f>IF(AND('Mapa final'!$Y$36="Muy Alta",'Mapa final'!$AA$36="Catastrófico"),CONCATENATE("R5C",'Mapa final'!$O$36),"")</f>
        <v/>
      </c>
      <c r="AK10" s="42" t="str">
        <f>IF(AND('Mapa final'!$Y$37="Muy Alta",'Mapa final'!$AA$37="Catastrófico"),CONCATENATE("R5C",'Mapa final'!$O$37),"")</f>
        <v/>
      </c>
      <c r="AL10" s="42" t="str">
        <f>IF(AND('Mapa final'!$Y$38="Muy Alta",'Mapa final'!$AA$38="Catastrófico"),CONCATENATE("R5C",'Mapa final'!$O$38),"")</f>
        <v/>
      </c>
      <c r="AM10" s="43" t="str">
        <f>IF(AND('Mapa final'!$Y$39="Muy Alta",'Mapa final'!$AA$39="Catastrófico"),CONCATENATE("R5C",'Mapa final'!$O$39),"")</f>
        <v/>
      </c>
      <c r="AN10" s="70"/>
      <c r="AO10" s="422"/>
      <c r="AP10" s="423"/>
      <c r="AQ10" s="423"/>
      <c r="AR10" s="423"/>
      <c r="AS10" s="423"/>
      <c r="AT10" s="424"/>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row>
    <row r="11" spans="1:91" ht="15" customHeight="1" x14ac:dyDescent="0.25">
      <c r="A11" s="70"/>
      <c r="B11" s="360"/>
      <c r="C11" s="360"/>
      <c r="D11" s="361"/>
      <c r="E11" s="401"/>
      <c r="F11" s="402"/>
      <c r="G11" s="402"/>
      <c r="H11" s="402"/>
      <c r="I11" s="403"/>
      <c r="J11" s="38" t="str">
        <f>IF(AND('Mapa final'!$Y$40="Muy Alta",'Mapa final'!$AA$40="Leve"),CONCATENATE("R6C",'Mapa final'!$O$40),"")</f>
        <v/>
      </c>
      <c r="K11" s="39" t="str">
        <f>IF(AND('Mapa final'!$Y$41="Muy Alta",'Mapa final'!$AA$41="Leve"),CONCATENATE("R6C",'Mapa final'!$O$41),"")</f>
        <v/>
      </c>
      <c r="L11" s="44" t="str">
        <f>IF(AND('Mapa final'!$Y$42="Muy Alta",'Mapa final'!$AA$42="Leve"),CONCATENATE("R6C",'Mapa final'!$O$42),"")</f>
        <v/>
      </c>
      <c r="M11" s="44" t="str">
        <f>IF(AND('Mapa final'!$Y$43="Muy Alta",'Mapa final'!$AA$43="Leve"),CONCATENATE("R6C",'Mapa final'!$O$43),"")</f>
        <v/>
      </c>
      <c r="N11" s="44" t="str">
        <f>IF(AND('Mapa final'!$Y$44="Muy Alta",'Mapa final'!$AA$44="Leve"),CONCATENATE("R6C",'Mapa final'!$O$44),"")</f>
        <v/>
      </c>
      <c r="O11" s="40" t="str">
        <f>IF(AND('Mapa final'!$Y$45="Muy Alta",'Mapa final'!$AA$45="Leve"),CONCATENATE("R6C",'Mapa final'!$O$45),"")</f>
        <v/>
      </c>
      <c r="P11" s="38" t="str">
        <f>IF(AND('Mapa final'!$Y$40="Muy Alta",'Mapa final'!$AA$40="Menor"),CONCATENATE("R6C",'Mapa final'!$O$40),"")</f>
        <v/>
      </c>
      <c r="Q11" s="39" t="str">
        <f>IF(AND('Mapa final'!$Y$41="Muy Alta",'Mapa final'!$AA$41="Menor"),CONCATENATE("R6C",'Mapa final'!$O$41),"")</f>
        <v/>
      </c>
      <c r="R11" s="44" t="str">
        <f>IF(AND('Mapa final'!$Y$42="Muy Alta",'Mapa final'!$AA$42="Menor"),CONCATENATE("R6C",'Mapa final'!$O$42),"")</f>
        <v/>
      </c>
      <c r="S11" s="44" t="str">
        <f>IF(AND('Mapa final'!$Y$43="Muy Alta",'Mapa final'!$AA$43="Menor"),CONCATENATE("R6C",'Mapa final'!$O$43),"")</f>
        <v/>
      </c>
      <c r="T11" s="44" t="str">
        <f>IF(AND('Mapa final'!$Y$44="Muy Alta",'Mapa final'!$AA$44="Menor"),CONCATENATE("R6C",'Mapa final'!$O$44),"")</f>
        <v/>
      </c>
      <c r="U11" s="40" t="str">
        <f>IF(AND('Mapa final'!$Y$45="Muy Alta",'Mapa final'!$AA$45="Menor"),CONCATENATE("R6C",'Mapa final'!$O$45),"")</f>
        <v/>
      </c>
      <c r="V11" s="38" t="str">
        <f>IF(AND('Mapa final'!$Y$40="Muy Alta",'Mapa final'!$AA$40="Moderado"),CONCATENATE("R6C",'Mapa final'!$O$40),"")</f>
        <v/>
      </c>
      <c r="W11" s="39" t="str">
        <f>IF(AND('Mapa final'!$Y$41="Muy Alta",'Mapa final'!$AA$41="Moderado"),CONCATENATE("R6C",'Mapa final'!$O$41),"")</f>
        <v/>
      </c>
      <c r="X11" s="44" t="str">
        <f>IF(AND('Mapa final'!$Y$42="Muy Alta",'Mapa final'!$AA$42="Moderado"),CONCATENATE("R6C",'Mapa final'!$O$42),"")</f>
        <v/>
      </c>
      <c r="Y11" s="44" t="str">
        <f>IF(AND('Mapa final'!$Y$43="Muy Alta",'Mapa final'!$AA$43="Moderado"),CONCATENATE("R6C",'Mapa final'!$O$43),"")</f>
        <v/>
      </c>
      <c r="Z11" s="44" t="str">
        <f>IF(AND('Mapa final'!$Y$44="Muy Alta",'Mapa final'!$AA$44="Moderado"),CONCATENATE("R6C",'Mapa final'!$O$44),"")</f>
        <v/>
      </c>
      <c r="AA11" s="40" t="str">
        <f>IF(AND('Mapa final'!$Y$45="Muy Alta",'Mapa final'!$AA$45="Moderado"),CONCATENATE("R6C",'Mapa final'!$O$45),"")</f>
        <v/>
      </c>
      <c r="AB11" s="38" t="str">
        <f>IF(AND('Mapa final'!$Y$40="Muy Alta",'Mapa final'!$AA$40="Mayor"),CONCATENATE("R6C",'Mapa final'!$O$40),"")</f>
        <v/>
      </c>
      <c r="AC11" s="39" t="str">
        <f>IF(AND('Mapa final'!$Y$41="Muy Alta",'Mapa final'!$AA$41="Mayor"),CONCATENATE("R6C",'Mapa final'!$O$41),"")</f>
        <v/>
      </c>
      <c r="AD11" s="44" t="str">
        <f>IF(AND('Mapa final'!$Y$42="Muy Alta",'Mapa final'!$AA$42="Mayor"),CONCATENATE("R6C",'Mapa final'!$O$42),"")</f>
        <v/>
      </c>
      <c r="AE11" s="44" t="str">
        <f>IF(AND('Mapa final'!$Y$43="Muy Alta",'Mapa final'!$AA$43="Mayor"),CONCATENATE("R6C",'Mapa final'!$O$43),"")</f>
        <v/>
      </c>
      <c r="AF11" s="44" t="str">
        <f>IF(AND('Mapa final'!$Y$44="Muy Alta",'Mapa final'!$AA$44="Mayor"),CONCATENATE("R6C",'Mapa final'!$O$44),"")</f>
        <v/>
      </c>
      <c r="AG11" s="40" t="str">
        <f>IF(AND('Mapa final'!$Y$45="Muy Alta",'Mapa final'!$AA$45="Mayor"),CONCATENATE("R6C",'Mapa final'!$O$45),"")</f>
        <v/>
      </c>
      <c r="AH11" s="41" t="str">
        <f>IF(AND('Mapa final'!$Y$40="Muy Alta",'Mapa final'!$AA$40="Catastrófico"),CONCATENATE("R6C",'Mapa final'!$O$40),"")</f>
        <v/>
      </c>
      <c r="AI11" s="42" t="str">
        <f>IF(AND('Mapa final'!$Y$41="Muy Alta",'Mapa final'!$AA$41="Catastrófico"),CONCATENATE("R6C",'Mapa final'!$O$41),"")</f>
        <v/>
      </c>
      <c r="AJ11" s="42" t="str">
        <f>IF(AND('Mapa final'!$Y$42="Muy Alta",'Mapa final'!$AA$42="Catastrófico"),CONCATENATE("R6C",'Mapa final'!$O$42),"")</f>
        <v/>
      </c>
      <c r="AK11" s="42" t="str">
        <f>IF(AND('Mapa final'!$Y$43="Muy Alta",'Mapa final'!$AA$43="Catastrófico"),CONCATENATE("R6C",'Mapa final'!$O$43),"")</f>
        <v/>
      </c>
      <c r="AL11" s="42" t="str">
        <f>IF(AND('Mapa final'!$Y$44="Muy Alta",'Mapa final'!$AA$44="Catastrófico"),CONCATENATE("R6C",'Mapa final'!$O$44),"")</f>
        <v/>
      </c>
      <c r="AM11" s="43" t="str">
        <f>IF(AND('Mapa final'!$Y$45="Muy Alta",'Mapa final'!$AA$45="Catastrófico"),CONCATENATE("R6C",'Mapa final'!$O$45),"")</f>
        <v/>
      </c>
      <c r="AN11" s="70"/>
      <c r="AO11" s="422"/>
      <c r="AP11" s="423"/>
      <c r="AQ11" s="423"/>
      <c r="AR11" s="423"/>
      <c r="AS11" s="423"/>
      <c r="AT11" s="424"/>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row>
    <row r="12" spans="1:91" ht="15" customHeight="1" x14ac:dyDescent="0.25">
      <c r="A12" s="70"/>
      <c r="B12" s="360"/>
      <c r="C12" s="360"/>
      <c r="D12" s="361"/>
      <c r="E12" s="401"/>
      <c r="F12" s="402"/>
      <c r="G12" s="402"/>
      <c r="H12" s="402"/>
      <c r="I12" s="403"/>
      <c r="J12" s="38" t="str">
        <f>IF(AND('Mapa final'!$Y$46="Muy Alta",'Mapa final'!$AA$46="Leve"),CONCATENATE("R7C",'Mapa final'!$O$46),"")</f>
        <v/>
      </c>
      <c r="K12" s="39" t="str">
        <f>IF(AND('Mapa final'!$Y$47="Muy Alta",'Mapa final'!$AA$47="Leve"),CONCATENATE("R7C",'Mapa final'!$O$47),"")</f>
        <v/>
      </c>
      <c r="L12" s="44" t="str">
        <f>IF(AND('Mapa final'!$Y$48="Muy Alta",'Mapa final'!$AA$48="Leve"),CONCATENATE("R7C",'Mapa final'!$O$48),"")</f>
        <v/>
      </c>
      <c r="M12" s="44" t="str">
        <f>IF(AND('Mapa final'!$Y$49="Muy Alta",'Mapa final'!$AA$49="Leve"),CONCATENATE("R7C",'Mapa final'!$O$49),"")</f>
        <v/>
      </c>
      <c r="N12" s="44" t="str">
        <f>IF(AND('Mapa final'!$Y$50="Muy Alta",'Mapa final'!$AA$50="Leve"),CONCATENATE("R7C",'Mapa final'!$O$50),"")</f>
        <v/>
      </c>
      <c r="O12" s="40" t="str">
        <f>IF(AND('Mapa final'!$Y$51="Muy Alta",'Mapa final'!$AA$51="Leve"),CONCATENATE("R7C",'Mapa final'!$O$51),"")</f>
        <v/>
      </c>
      <c r="P12" s="38" t="str">
        <f>IF(AND('Mapa final'!$Y$46="Muy Alta",'Mapa final'!$AA$46="Menor"),CONCATENATE("R7C",'Mapa final'!$O$46),"")</f>
        <v/>
      </c>
      <c r="Q12" s="39" t="str">
        <f>IF(AND('Mapa final'!$Y$47="Muy Alta",'Mapa final'!$AA$47="Menor"),CONCATENATE("R7C",'Mapa final'!$O$47),"")</f>
        <v/>
      </c>
      <c r="R12" s="44" t="str">
        <f>IF(AND('Mapa final'!$Y$48="Muy Alta",'Mapa final'!$AA$48="Menor"),CONCATENATE("R7C",'Mapa final'!$O$48),"")</f>
        <v/>
      </c>
      <c r="S12" s="44" t="str">
        <f>IF(AND('Mapa final'!$Y$49="Muy Alta",'Mapa final'!$AA$49="Menor"),CONCATENATE("R7C",'Mapa final'!$O$49),"")</f>
        <v/>
      </c>
      <c r="T12" s="44" t="str">
        <f>IF(AND('Mapa final'!$Y$50="Muy Alta",'Mapa final'!$AA$50="Menor"),CONCATENATE("R7C",'Mapa final'!$O$50),"")</f>
        <v/>
      </c>
      <c r="U12" s="40" t="str">
        <f>IF(AND('Mapa final'!$Y$51="Muy Alta",'Mapa final'!$AA$51="Menor"),CONCATENATE("R7C",'Mapa final'!$O$51),"")</f>
        <v/>
      </c>
      <c r="V12" s="38" t="str">
        <f>IF(AND('Mapa final'!$Y$46="Muy Alta",'Mapa final'!$AA$46="Moderado"),CONCATENATE("R7C",'Mapa final'!$O$46),"")</f>
        <v/>
      </c>
      <c r="W12" s="39" t="str">
        <f>IF(AND('Mapa final'!$Y$47="Muy Alta",'Mapa final'!$AA$47="Moderado"),CONCATENATE("R7C",'Mapa final'!$O$47),"")</f>
        <v/>
      </c>
      <c r="X12" s="44" t="str">
        <f>IF(AND('Mapa final'!$Y$48="Muy Alta",'Mapa final'!$AA$48="Moderado"),CONCATENATE("R7C",'Mapa final'!$O$48),"")</f>
        <v/>
      </c>
      <c r="Y12" s="44" t="str">
        <f>IF(AND('Mapa final'!$Y$49="Muy Alta",'Mapa final'!$AA$49="Moderado"),CONCATENATE("R7C",'Mapa final'!$O$49),"")</f>
        <v/>
      </c>
      <c r="Z12" s="44" t="str">
        <f>IF(AND('Mapa final'!$Y$50="Muy Alta",'Mapa final'!$AA$50="Moderado"),CONCATENATE("R7C",'Mapa final'!$O$50),"")</f>
        <v/>
      </c>
      <c r="AA12" s="40" t="str">
        <f>IF(AND('Mapa final'!$Y$51="Muy Alta",'Mapa final'!$AA$51="Moderado"),CONCATENATE("R7C",'Mapa final'!$O$51),"")</f>
        <v/>
      </c>
      <c r="AB12" s="38" t="str">
        <f>IF(AND('Mapa final'!$Y$46="Muy Alta",'Mapa final'!$AA$46="Mayor"),CONCATENATE("R7C",'Mapa final'!$O$46),"")</f>
        <v/>
      </c>
      <c r="AC12" s="39" t="str">
        <f>IF(AND('Mapa final'!$Y$47="Muy Alta",'Mapa final'!$AA$47="Mayor"),CONCATENATE("R7C",'Mapa final'!$O$47),"")</f>
        <v/>
      </c>
      <c r="AD12" s="44" t="str">
        <f>IF(AND('Mapa final'!$Y$48="Muy Alta",'Mapa final'!$AA$48="Mayor"),CONCATENATE("R7C",'Mapa final'!$O$48),"")</f>
        <v/>
      </c>
      <c r="AE12" s="44" t="str">
        <f>IF(AND('Mapa final'!$Y$49="Muy Alta",'Mapa final'!$AA$49="Mayor"),CONCATENATE("R7C",'Mapa final'!$O$49),"")</f>
        <v/>
      </c>
      <c r="AF12" s="44" t="str">
        <f>IF(AND('Mapa final'!$Y$50="Muy Alta",'Mapa final'!$AA$50="Mayor"),CONCATENATE("R7C",'Mapa final'!$O$50),"")</f>
        <v/>
      </c>
      <c r="AG12" s="40" t="str">
        <f>IF(AND('Mapa final'!$Y$51="Muy Alta",'Mapa final'!$AA$51="Mayor"),CONCATENATE("R7C",'Mapa final'!$O$51),"")</f>
        <v/>
      </c>
      <c r="AH12" s="41" t="str">
        <f>IF(AND('Mapa final'!$Y$46="Muy Alta",'Mapa final'!$AA$46="Catastrófico"),CONCATENATE("R7C",'Mapa final'!$O$46),"")</f>
        <v/>
      </c>
      <c r="AI12" s="42" t="str">
        <f>IF(AND('Mapa final'!$Y$47="Muy Alta",'Mapa final'!$AA$47="Catastrófico"),CONCATENATE("R7C",'Mapa final'!$O$47),"")</f>
        <v/>
      </c>
      <c r="AJ12" s="42" t="str">
        <f>IF(AND('Mapa final'!$Y$48="Muy Alta",'Mapa final'!$AA$48="Catastrófico"),CONCATENATE("R7C",'Mapa final'!$O$48),"")</f>
        <v/>
      </c>
      <c r="AK12" s="42" t="str">
        <f>IF(AND('Mapa final'!$Y$49="Muy Alta",'Mapa final'!$AA$49="Catastrófico"),CONCATENATE("R7C",'Mapa final'!$O$49),"")</f>
        <v/>
      </c>
      <c r="AL12" s="42" t="str">
        <f>IF(AND('Mapa final'!$Y$50="Muy Alta",'Mapa final'!$AA$50="Catastrófico"),CONCATENATE("R7C",'Mapa final'!$O$50),"")</f>
        <v/>
      </c>
      <c r="AM12" s="43" t="str">
        <f>IF(AND('Mapa final'!$Y$51="Muy Alta",'Mapa final'!$AA$51="Catastrófico"),CONCATENATE("R7C",'Mapa final'!$O$51),"")</f>
        <v/>
      </c>
      <c r="AN12" s="70"/>
      <c r="AO12" s="422"/>
      <c r="AP12" s="423"/>
      <c r="AQ12" s="423"/>
      <c r="AR12" s="423"/>
      <c r="AS12" s="423"/>
      <c r="AT12" s="424"/>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row>
    <row r="13" spans="1:91" ht="15" customHeight="1" x14ac:dyDescent="0.25">
      <c r="A13" s="70"/>
      <c r="B13" s="360"/>
      <c r="C13" s="360"/>
      <c r="D13" s="361"/>
      <c r="E13" s="401"/>
      <c r="F13" s="402"/>
      <c r="G13" s="402"/>
      <c r="H13" s="402"/>
      <c r="I13" s="403"/>
      <c r="J13" s="38" t="str">
        <f>IF(AND('Mapa final'!$Y$52="Muy Alta",'Mapa final'!$AA$52="Leve"),CONCATENATE("R8C",'Mapa final'!$O$52),"")</f>
        <v/>
      </c>
      <c r="K13" s="39" t="str">
        <f>IF(AND('Mapa final'!$Y$53="Muy Alta",'Mapa final'!$AA$53="Leve"),CONCATENATE("R8C",'Mapa final'!$O$53),"")</f>
        <v/>
      </c>
      <c r="L13" s="44" t="str">
        <f>IF(AND('Mapa final'!$Y$54="Muy Alta",'Mapa final'!$AA$54="Leve"),CONCATENATE("R8C",'Mapa final'!$O$54),"")</f>
        <v/>
      </c>
      <c r="M13" s="44" t="str">
        <f>IF(AND('Mapa final'!$Y$55="Muy Alta",'Mapa final'!$AA$55="Leve"),CONCATENATE("R8C",'Mapa final'!$O$55),"")</f>
        <v/>
      </c>
      <c r="N13" s="44" t="str">
        <f>IF(AND('Mapa final'!$Y$56="Muy Alta",'Mapa final'!$AA$56="Leve"),CONCATENATE("R8C",'Mapa final'!$O$56),"")</f>
        <v/>
      </c>
      <c r="O13" s="40" t="str">
        <f>IF(AND('Mapa final'!$Y$57="Muy Alta",'Mapa final'!$AA$57="Leve"),CONCATENATE("R8C",'Mapa final'!$O$57),"")</f>
        <v/>
      </c>
      <c r="P13" s="38" t="str">
        <f>IF(AND('Mapa final'!$Y$52="Muy Alta",'Mapa final'!$AA$52="Menor"),CONCATENATE("R8C",'Mapa final'!$O$52),"")</f>
        <v/>
      </c>
      <c r="Q13" s="39" t="str">
        <f>IF(AND('Mapa final'!$Y$53="Muy Alta",'Mapa final'!$AA$53="Menor"),CONCATENATE("R8C",'Mapa final'!$O$53),"")</f>
        <v/>
      </c>
      <c r="R13" s="44" t="str">
        <f>IF(AND('Mapa final'!$Y$54="Muy Alta",'Mapa final'!$AA$54="Menor"),CONCATENATE("R8C",'Mapa final'!$O$54),"")</f>
        <v/>
      </c>
      <c r="S13" s="44" t="str">
        <f>IF(AND('Mapa final'!$Y$55="Muy Alta",'Mapa final'!$AA$55="Menor"),CONCATENATE("R8C",'Mapa final'!$O$55),"")</f>
        <v/>
      </c>
      <c r="T13" s="44" t="str">
        <f>IF(AND('Mapa final'!$Y$56="Muy Alta",'Mapa final'!$AA$56="Menor"),CONCATENATE("R8C",'Mapa final'!$O$56),"")</f>
        <v/>
      </c>
      <c r="U13" s="40" t="str">
        <f>IF(AND('Mapa final'!$Y$57="Muy Alta",'Mapa final'!$AA$57="Menor"),CONCATENATE("R8C",'Mapa final'!$O$57),"")</f>
        <v/>
      </c>
      <c r="V13" s="38" t="str">
        <f>IF(AND('Mapa final'!$Y$52="Muy Alta",'Mapa final'!$AA$52="Moderado"),CONCATENATE("R8C",'Mapa final'!$O$52),"")</f>
        <v/>
      </c>
      <c r="W13" s="39" t="str">
        <f>IF(AND('Mapa final'!$Y$53="Muy Alta",'Mapa final'!$AA$53="Moderado"),CONCATENATE("R8C",'Mapa final'!$O$53),"")</f>
        <v/>
      </c>
      <c r="X13" s="44" t="str">
        <f>IF(AND('Mapa final'!$Y$54="Muy Alta",'Mapa final'!$AA$54="Moderado"),CONCATENATE("R8C",'Mapa final'!$O$54),"")</f>
        <v/>
      </c>
      <c r="Y13" s="44" t="str">
        <f>IF(AND('Mapa final'!$Y$55="Muy Alta",'Mapa final'!$AA$55="Moderado"),CONCATENATE("R8C",'Mapa final'!$O$55),"")</f>
        <v/>
      </c>
      <c r="Z13" s="44" t="str">
        <f>IF(AND('Mapa final'!$Y$56="Muy Alta",'Mapa final'!$AA$56="Moderado"),CONCATENATE("R8C",'Mapa final'!$O$56),"")</f>
        <v/>
      </c>
      <c r="AA13" s="40" t="str">
        <f>IF(AND('Mapa final'!$Y$57="Muy Alta",'Mapa final'!$AA$57="Moderado"),CONCATENATE("R8C",'Mapa final'!$O$57),"")</f>
        <v/>
      </c>
      <c r="AB13" s="38" t="str">
        <f>IF(AND('Mapa final'!$Y$52="Muy Alta",'Mapa final'!$AA$52="Mayor"),CONCATENATE("R8C",'Mapa final'!$O$52),"")</f>
        <v/>
      </c>
      <c r="AC13" s="39" t="str">
        <f>IF(AND('Mapa final'!$Y$53="Muy Alta",'Mapa final'!$AA$53="Mayor"),CONCATENATE("R8C",'Mapa final'!$O$53),"")</f>
        <v/>
      </c>
      <c r="AD13" s="44" t="str">
        <f>IF(AND('Mapa final'!$Y$54="Muy Alta",'Mapa final'!$AA$54="Mayor"),CONCATENATE("R8C",'Mapa final'!$O$54),"")</f>
        <v/>
      </c>
      <c r="AE13" s="44" t="str">
        <f>IF(AND('Mapa final'!$Y$55="Muy Alta",'Mapa final'!$AA$55="Mayor"),CONCATENATE("R8C",'Mapa final'!$O$55),"")</f>
        <v/>
      </c>
      <c r="AF13" s="44" t="str">
        <f>IF(AND('Mapa final'!$Y$56="Muy Alta",'Mapa final'!$AA$56="Mayor"),CONCATENATE("R8C",'Mapa final'!$O$56),"")</f>
        <v/>
      </c>
      <c r="AG13" s="40" t="str">
        <f>IF(AND('Mapa final'!$Y$57="Muy Alta",'Mapa final'!$AA$57="Mayor"),CONCATENATE("R8C",'Mapa final'!$O$57),"")</f>
        <v/>
      </c>
      <c r="AH13" s="41" t="str">
        <f>IF(AND('Mapa final'!$Y$52="Muy Alta",'Mapa final'!$AA$52="Catastrófico"),CONCATENATE("R8C",'Mapa final'!$O$52),"")</f>
        <v/>
      </c>
      <c r="AI13" s="42" t="str">
        <f>IF(AND('Mapa final'!$Y$53="Muy Alta",'Mapa final'!$AA$53="Catastrófico"),CONCATENATE("R8C",'Mapa final'!$O$53),"")</f>
        <v/>
      </c>
      <c r="AJ13" s="42" t="str">
        <f>IF(AND('Mapa final'!$Y$54="Muy Alta",'Mapa final'!$AA$54="Catastrófico"),CONCATENATE("R8C",'Mapa final'!$O$54),"")</f>
        <v/>
      </c>
      <c r="AK13" s="42" t="str">
        <f>IF(AND('Mapa final'!$Y$55="Muy Alta",'Mapa final'!$AA$55="Catastrófico"),CONCATENATE("R8C",'Mapa final'!$O$55),"")</f>
        <v/>
      </c>
      <c r="AL13" s="42" t="str">
        <f>IF(AND('Mapa final'!$Y$56="Muy Alta",'Mapa final'!$AA$56="Catastrófico"),CONCATENATE("R8C",'Mapa final'!$O$56),"")</f>
        <v/>
      </c>
      <c r="AM13" s="43" t="str">
        <f>IF(AND('Mapa final'!$Y$57="Muy Alta",'Mapa final'!$AA$57="Catastrófico"),CONCATENATE("R8C",'Mapa final'!$O$57),"")</f>
        <v/>
      </c>
      <c r="AN13" s="70"/>
      <c r="AO13" s="422"/>
      <c r="AP13" s="423"/>
      <c r="AQ13" s="423"/>
      <c r="AR13" s="423"/>
      <c r="AS13" s="423"/>
      <c r="AT13" s="424"/>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row>
    <row r="14" spans="1:91" ht="15" customHeight="1" x14ac:dyDescent="0.25">
      <c r="A14" s="70"/>
      <c r="B14" s="360"/>
      <c r="C14" s="360"/>
      <c r="D14" s="361"/>
      <c r="E14" s="401"/>
      <c r="F14" s="402"/>
      <c r="G14" s="402"/>
      <c r="H14" s="402"/>
      <c r="I14" s="403"/>
      <c r="J14" s="38" t="str">
        <f>IF(AND('Mapa final'!$Y$58="Muy Alta",'Mapa final'!$AA$58="Leve"),CONCATENATE("R9C",'Mapa final'!$O$58),"")</f>
        <v/>
      </c>
      <c r="K14" s="39" t="str">
        <f>IF(AND('Mapa final'!$Y$59="Muy Alta",'Mapa final'!$AA$59="Leve"),CONCATENATE("R9C",'Mapa final'!$O$59),"")</f>
        <v/>
      </c>
      <c r="L14" s="44" t="str">
        <f>IF(AND('Mapa final'!$Y$60="Muy Alta",'Mapa final'!$AA$60="Leve"),CONCATENATE("R9C",'Mapa final'!$O$60),"")</f>
        <v/>
      </c>
      <c r="M14" s="44" t="str">
        <f>IF(AND('Mapa final'!$Y$61="Muy Alta",'Mapa final'!$AA$61="Leve"),CONCATENATE("R9C",'Mapa final'!$O$61),"")</f>
        <v/>
      </c>
      <c r="N14" s="44" t="str">
        <f>IF(AND('Mapa final'!$Y$62="Muy Alta",'Mapa final'!$AA$62="Leve"),CONCATENATE("R9C",'Mapa final'!$O$62),"")</f>
        <v/>
      </c>
      <c r="O14" s="40" t="str">
        <f>IF(AND('Mapa final'!$Y$63="Muy Alta",'Mapa final'!$AA$63="Leve"),CONCATENATE("R9C",'Mapa final'!$O$63),"")</f>
        <v/>
      </c>
      <c r="P14" s="38" t="str">
        <f>IF(AND('Mapa final'!$Y$58="Muy Alta",'Mapa final'!$AA$58="Menor"),CONCATENATE("R9C",'Mapa final'!$O$58),"")</f>
        <v/>
      </c>
      <c r="Q14" s="39" t="str">
        <f>IF(AND('Mapa final'!$Y$59="Muy Alta",'Mapa final'!$AA$59="Menor"),CONCATENATE("R9C",'Mapa final'!$O$59),"")</f>
        <v/>
      </c>
      <c r="R14" s="44" t="str">
        <f>IF(AND('Mapa final'!$Y$60="Muy Alta",'Mapa final'!$AA$60="Menor"),CONCATENATE("R9C",'Mapa final'!$O$60),"")</f>
        <v/>
      </c>
      <c r="S14" s="44" t="str">
        <f>IF(AND('Mapa final'!$Y$61="Muy Alta",'Mapa final'!$AA$61="Menor"),CONCATENATE("R9C",'Mapa final'!$O$61),"")</f>
        <v/>
      </c>
      <c r="T14" s="44" t="str">
        <f>IF(AND('Mapa final'!$Y$62="Muy Alta",'Mapa final'!$AA$62="Menor"),CONCATENATE("R9C",'Mapa final'!$O$62),"")</f>
        <v/>
      </c>
      <c r="U14" s="40" t="str">
        <f>IF(AND('Mapa final'!$Y$63="Muy Alta",'Mapa final'!$AA$63="Menor"),CONCATENATE("R9C",'Mapa final'!$O$63),"")</f>
        <v/>
      </c>
      <c r="V14" s="38" t="str">
        <f>IF(AND('Mapa final'!$Y$58="Muy Alta",'Mapa final'!$AA$58="Moderado"),CONCATENATE("R9C",'Mapa final'!$O$58),"")</f>
        <v/>
      </c>
      <c r="W14" s="39" t="str">
        <f>IF(AND('Mapa final'!$Y$59="Muy Alta",'Mapa final'!$AA$59="Moderado"),CONCATENATE("R9C",'Mapa final'!$O$59),"")</f>
        <v/>
      </c>
      <c r="X14" s="44" t="str">
        <f>IF(AND('Mapa final'!$Y$60="Muy Alta",'Mapa final'!$AA$60="Moderado"),CONCATENATE("R9C",'Mapa final'!$O$60),"")</f>
        <v/>
      </c>
      <c r="Y14" s="44" t="str">
        <f>IF(AND('Mapa final'!$Y$61="Muy Alta",'Mapa final'!$AA$61="Moderado"),CONCATENATE("R9C",'Mapa final'!$O$61),"")</f>
        <v/>
      </c>
      <c r="Z14" s="44" t="str">
        <f>IF(AND('Mapa final'!$Y$62="Muy Alta",'Mapa final'!$AA$62="Moderado"),CONCATENATE("R9C",'Mapa final'!$O$62),"")</f>
        <v/>
      </c>
      <c r="AA14" s="40" t="str">
        <f>IF(AND('Mapa final'!$Y$63="Muy Alta",'Mapa final'!$AA$63="Moderado"),CONCATENATE("R9C",'Mapa final'!$O$63),"")</f>
        <v/>
      </c>
      <c r="AB14" s="38" t="str">
        <f>IF(AND('Mapa final'!$Y$58="Muy Alta",'Mapa final'!$AA$58="Mayor"),CONCATENATE("R9C",'Mapa final'!$O$58),"")</f>
        <v/>
      </c>
      <c r="AC14" s="39" t="str">
        <f>IF(AND('Mapa final'!$Y$59="Muy Alta",'Mapa final'!$AA$59="Mayor"),CONCATENATE("R9C",'Mapa final'!$O$59),"")</f>
        <v/>
      </c>
      <c r="AD14" s="44" t="str">
        <f>IF(AND('Mapa final'!$Y$60="Muy Alta",'Mapa final'!$AA$60="Mayor"),CONCATENATE("R9C",'Mapa final'!$O$60),"")</f>
        <v/>
      </c>
      <c r="AE14" s="44" t="str">
        <f>IF(AND('Mapa final'!$Y$61="Muy Alta",'Mapa final'!$AA$61="Mayor"),CONCATENATE("R9C",'Mapa final'!$O$61),"")</f>
        <v/>
      </c>
      <c r="AF14" s="44" t="str">
        <f>IF(AND('Mapa final'!$Y$62="Muy Alta",'Mapa final'!$AA$62="Mayor"),CONCATENATE("R9C",'Mapa final'!$O$62),"")</f>
        <v/>
      </c>
      <c r="AG14" s="40" t="str">
        <f>IF(AND('Mapa final'!$Y$63="Muy Alta",'Mapa final'!$AA$63="Mayor"),CONCATENATE("R9C",'Mapa final'!$O$63),"")</f>
        <v/>
      </c>
      <c r="AH14" s="41" t="str">
        <f>IF(AND('Mapa final'!$Y$58="Muy Alta",'Mapa final'!$AA$58="Catastrófico"),CONCATENATE("R9C",'Mapa final'!$O$58),"")</f>
        <v/>
      </c>
      <c r="AI14" s="42" t="str">
        <f>IF(AND('Mapa final'!$Y$59="Muy Alta",'Mapa final'!$AA$59="Catastrófico"),CONCATENATE("R9C",'Mapa final'!$O$59),"")</f>
        <v/>
      </c>
      <c r="AJ14" s="42" t="str">
        <f>IF(AND('Mapa final'!$Y$60="Muy Alta",'Mapa final'!$AA$60="Catastrófico"),CONCATENATE("R9C",'Mapa final'!$O$60),"")</f>
        <v/>
      </c>
      <c r="AK14" s="42" t="str">
        <f>IF(AND('Mapa final'!$Y$61="Muy Alta",'Mapa final'!$AA$61="Catastrófico"),CONCATENATE("R9C",'Mapa final'!$O$61),"")</f>
        <v/>
      </c>
      <c r="AL14" s="42" t="str">
        <f>IF(AND('Mapa final'!$Y$62="Muy Alta",'Mapa final'!$AA$62="Catastrófico"),CONCATENATE("R9C",'Mapa final'!$O$62),"")</f>
        <v/>
      </c>
      <c r="AM14" s="43" t="str">
        <f>IF(AND('Mapa final'!$Y$63="Muy Alta",'Mapa final'!$AA$63="Catastrófico"),CONCATENATE("R9C",'Mapa final'!$O$63),"")</f>
        <v/>
      </c>
      <c r="AN14" s="70"/>
      <c r="AO14" s="422"/>
      <c r="AP14" s="423"/>
      <c r="AQ14" s="423"/>
      <c r="AR14" s="423"/>
      <c r="AS14" s="423"/>
      <c r="AT14" s="424"/>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row>
    <row r="15" spans="1:91" ht="15.75" customHeight="1" thickBot="1" x14ac:dyDescent="0.3">
      <c r="A15" s="70"/>
      <c r="B15" s="360"/>
      <c r="C15" s="360"/>
      <c r="D15" s="361"/>
      <c r="E15" s="404"/>
      <c r="F15" s="405"/>
      <c r="G15" s="405"/>
      <c r="H15" s="405"/>
      <c r="I15" s="406"/>
      <c r="J15" s="45" t="str">
        <f>IF(AND('Mapa final'!$Y$64="Muy Alta",'Mapa final'!$AA$64="Leve"),CONCATENATE("R10C",'Mapa final'!$O$64),"")</f>
        <v/>
      </c>
      <c r="K15" s="46" t="str">
        <f>IF(AND('Mapa final'!$Y$65="Muy Alta",'Mapa final'!$AA$65="Leve"),CONCATENATE("R10C",'Mapa final'!$O$65),"")</f>
        <v/>
      </c>
      <c r="L15" s="46" t="str">
        <f>IF(AND('Mapa final'!$Y$66="Muy Alta",'Mapa final'!$AA$66="Leve"),CONCATENATE("R10C",'Mapa final'!$O$66),"")</f>
        <v/>
      </c>
      <c r="M15" s="46" t="str">
        <f>IF(AND('Mapa final'!$Y$67="Muy Alta",'Mapa final'!$AA$67="Leve"),CONCATENATE("R10C",'Mapa final'!$O$67),"")</f>
        <v/>
      </c>
      <c r="N15" s="46" t="str">
        <f>IF(AND('Mapa final'!$Y$68="Muy Alta",'Mapa final'!$AA$68="Leve"),CONCATENATE("R10C",'Mapa final'!$O$68),"")</f>
        <v/>
      </c>
      <c r="O15" s="47" t="str">
        <f>IF(AND('Mapa final'!$Y$69="Muy Alta",'Mapa final'!$AA$69="Leve"),CONCATENATE("R10C",'Mapa final'!$O$69),"")</f>
        <v/>
      </c>
      <c r="P15" s="38" t="str">
        <f>IF(AND('Mapa final'!$Y$64="Muy Alta",'Mapa final'!$AA$64="Menor"),CONCATENATE("R10C",'Mapa final'!$O$64),"")</f>
        <v/>
      </c>
      <c r="Q15" s="39" t="str">
        <f>IF(AND('Mapa final'!$Y$65="Muy Alta",'Mapa final'!$AA$65="Menor"),CONCATENATE("R10C",'Mapa final'!$O$65),"")</f>
        <v/>
      </c>
      <c r="R15" s="39" t="str">
        <f>IF(AND('Mapa final'!$Y$66="Muy Alta",'Mapa final'!$AA$66="Menor"),CONCATENATE("R10C",'Mapa final'!$O$66),"")</f>
        <v/>
      </c>
      <c r="S15" s="39" t="str">
        <f>IF(AND('Mapa final'!$Y$67="Muy Alta",'Mapa final'!$AA$67="Menor"),CONCATENATE("R10C",'Mapa final'!$O$67),"")</f>
        <v/>
      </c>
      <c r="T15" s="39" t="str">
        <f>IF(AND('Mapa final'!$Y$68="Muy Alta",'Mapa final'!$AA$68="Menor"),CONCATENATE("R10C",'Mapa final'!$O$68),"")</f>
        <v/>
      </c>
      <c r="U15" s="40" t="str">
        <f>IF(AND('Mapa final'!$Y$69="Muy Alta",'Mapa final'!$AA$69="Menor"),CONCATENATE("R10C",'Mapa final'!$O$69),"")</f>
        <v/>
      </c>
      <c r="V15" s="45" t="str">
        <f>IF(AND('Mapa final'!$Y$64="Muy Alta",'Mapa final'!$AA$64="Moderado"),CONCATENATE("R10C",'Mapa final'!$O$64),"")</f>
        <v/>
      </c>
      <c r="W15" s="46" t="str">
        <f>IF(AND('Mapa final'!$Y$65="Muy Alta",'Mapa final'!$AA$65="Moderado"),CONCATENATE("R10C",'Mapa final'!$O$65),"")</f>
        <v/>
      </c>
      <c r="X15" s="46" t="str">
        <f>IF(AND('Mapa final'!$Y$66="Muy Alta",'Mapa final'!$AA$66="Moderado"),CONCATENATE("R10C",'Mapa final'!$O$66),"")</f>
        <v/>
      </c>
      <c r="Y15" s="46" t="str">
        <f>IF(AND('Mapa final'!$Y$67="Muy Alta",'Mapa final'!$AA$67="Moderado"),CONCATENATE("R10C",'Mapa final'!$O$67),"")</f>
        <v/>
      </c>
      <c r="Z15" s="46" t="str">
        <f>IF(AND('Mapa final'!$Y$68="Muy Alta",'Mapa final'!$AA$68="Moderado"),CONCATENATE("R10C",'Mapa final'!$O$68),"")</f>
        <v/>
      </c>
      <c r="AA15" s="47" t="str">
        <f>IF(AND('Mapa final'!$Y$69="Muy Alta",'Mapa final'!$AA$69="Moderado"),CONCATENATE("R10C",'Mapa final'!$O$69),"")</f>
        <v/>
      </c>
      <c r="AB15" s="38" t="str">
        <f>IF(AND('Mapa final'!$Y$64="Muy Alta",'Mapa final'!$AA$64="Mayor"),CONCATENATE("R10C",'Mapa final'!$O$64),"")</f>
        <v/>
      </c>
      <c r="AC15" s="39" t="str">
        <f>IF(AND('Mapa final'!$Y$65="Muy Alta",'Mapa final'!$AA$65="Mayor"),CONCATENATE("R10C",'Mapa final'!$O$65),"")</f>
        <v/>
      </c>
      <c r="AD15" s="39" t="str">
        <f>IF(AND('Mapa final'!$Y$66="Muy Alta",'Mapa final'!$AA$66="Mayor"),CONCATENATE("R10C",'Mapa final'!$O$66),"")</f>
        <v/>
      </c>
      <c r="AE15" s="39" t="str">
        <f>IF(AND('Mapa final'!$Y$67="Muy Alta",'Mapa final'!$AA$67="Mayor"),CONCATENATE("R10C",'Mapa final'!$O$67),"")</f>
        <v/>
      </c>
      <c r="AF15" s="39" t="str">
        <f>IF(AND('Mapa final'!$Y$68="Muy Alta",'Mapa final'!$AA$68="Mayor"),CONCATENATE("R10C",'Mapa final'!$O$68),"")</f>
        <v/>
      </c>
      <c r="AG15" s="40" t="str">
        <f>IF(AND('Mapa final'!$Y$69="Muy Alta",'Mapa final'!$AA$69="Mayor"),CONCATENATE("R10C",'Mapa final'!$O$69),"")</f>
        <v/>
      </c>
      <c r="AH15" s="48" t="str">
        <f>IF(AND('Mapa final'!$Y$64="Muy Alta",'Mapa final'!$AA$64="Catastrófico"),CONCATENATE("R10C",'Mapa final'!$O$64),"")</f>
        <v/>
      </c>
      <c r="AI15" s="49" t="str">
        <f>IF(AND('Mapa final'!$Y$65="Muy Alta",'Mapa final'!$AA$65="Catastrófico"),CONCATENATE("R10C",'Mapa final'!$O$65),"")</f>
        <v/>
      </c>
      <c r="AJ15" s="49" t="str">
        <f>IF(AND('Mapa final'!$Y$66="Muy Alta",'Mapa final'!$AA$66="Catastrófico"),CONCATENATE("R10C",'Mapa final'!$O$66),"")</f>
        <v/>
      </c>
      <c r="AK15" s="49" t="str">
        <f>IF(AND('Mapa final'!$Y$67="Muy Alta",'Mapa final'!$AA$67="Catastrófico"),CONCATENATE("R10C",'Mapa final'!$O$67),"")</f>
        <v/>
      </c>
      <c r="AL15" s="49" t="str">
        <f>IF(AND('Mapa final'!$Y$68="Muy Alta",'Mapa final'!$AA$68="Catastrófico"),CONCATENATE("R10C",'Mapa final'!$O$68),"")</f>
        <v/>
      </c>
      <c r="AM15" s="50" t="str">
        <f>IF(AND('Mapa final'!$Y$69="Muy Alta",'Mapa final'!$AA$69="Catastrófico"),CONCATENATE("R10C",'Mapa final'!$O$69),"")</f>
        <v/>
      </c>
      <c r="AN15" s="70"/>
      <c r="AO15" s="425"/>
      <c r="AP15" s="426"/>
      <c r="AQ15" s="426"/>
      <c r="AR15" s="426"/>
      <c r="AS15" s="426"/>
      <c r="AT15" s="427"/>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row>
    <row r="16" spans="1:91" ht="15" customHeight="1" x14ac:dyDescent="0.25">
      <c r="A16" s="70"/>
      <c r="B16" s="360"/>
      <c r="C16" s="360"/>
      <c r="D16" s="361"/>
      <c r="E16" s="398" t="s">
        <v>115</v>
      </c>
      <c r="F16" s="399"/>
      <c r="G16" s="399"/>
      <c r="H16" s="399"/>
      <c r="I16" s="399"/>
      <c r="J16" s="51" t="str">
        <f>IF(AND('Mapa final'!$Y$10="Alta",'Mapa final'!$AA$10="Leve"),CONCATENATE("R1C",'Mapa final'!$O$10),"")</f>
        <v/>
      </c>
      <c r="K16" s="52" t="str">
        <f>IF(AND('Mapa final'!$Y$11="Alta",'Mapa final'!$AA$11="Leve"),CONCATENATE("R1C",'Mapa final'!$O$11),"")</f>
        <v/>
      </c>
      <c r="L16" s="52" t="str">
        <f>IF(AND('Mapa final'!$Y$12="Alta",'Mapa final'!$AA$12="Leve"),CONCATENATE("R1C",'Mapa final'!$O$12),"")</f>
        <v/>
      </c>
      <c r="M16" s="52" t="str">
        <f>IF(AND('Mapa final'!$Y$13="Alta",'Mapa final'!$AA$13="Leve"),CONCATENATE("R1C",'Mapa final'!$O$13),"")</f>
        <v/>
      </c>
      <c r="N16" s="52" t="str">
        <f>IF(AND('Mapa final'!$Y$14="Alta",'Mapa final'!$AA$14="Leve"),CONCATENATE("R1C",'Mapa final'!$O$14),"")</f>
        <v/>
      </c>
      <c r="O16" s="53" t="str">
        <f>IF(AND('Mapa final'!$Y$15="Alta",'Mapa final'!$AA$15="Leve"),CONCATENATE("R1C",'Mapa final'!$O$15),"")</f>
        <v/>
      </c>
      <c r="P16" s="51" t="str">
        <f>IF(AND('Mapa final'!$Y$10="Alta",'Mapa final'!$AA$10="Menor"),CONCATENATE("R1C",'Mapa final'!$O$10),"")</f>
        <v/>
      </c>
      <c r="Q16" s="52" t="str">
        <f>IF(AND('Mapa final'!$Y$11="Alta",'Mapa final'!$AA$11="Menor"),CONCATENATE("R1C",'Mapa final'!$O$11),"")</f>
        <v/>
      </c>
      <c r="R16" s="52" t="str">
        <f>IF(AND('Mapa final'!$Y$12="Alta",'Mapa final'!$AA$12="Menor"),CONCATENATE("R1C",'Mapa final'!$O$12),"")</f>
        <v/>
      </c>
      <c r="S16" s="52" t="str">
        <f>IF(AND('Mapa final'!$Y$13="Alta",'Mapa final'!$AA$13="Menor"),CONCATENATE("R1C",'Mapa final'!$O$13),"")</f>
        <v/>
      </c>
      <c r="T16" s="52" t="str">
        <f>IF(AND('Mapa final'!$Y$14="Alta",'Mapa final'!$AA$14="Menor"),CONCATENATE("R1C",'Mapa final'!$O$14),"")</f>
        <v/>
      </c>
      <c r="U16" s="53" t="str">
        <f>IF(AND('Mapa final'!$Y$15="Alta",'Mapa final'!$AA$15="Menor"),CONCATENATE("R1C",'Mapa final'!$O$15),"")</f>
        <v/>
      </c>
      <c r="V16" s="32" t="str">
        <f>IF(AND('Mapa final'!$Y$10="Alta",'Mapa final'!$AA$10="Moderado"),CONCATENATE("R1C",'Mapa final'!$O$10),"")</f>
        <v/>
      </c>
      <c r="W16" s="33" t="str">
        <f>IF(AND('Mapa final'!$Y$11="Alta",'Mapa final'!$AA$11="Moderado"),CONCATENATE("R1C",'Mapa final'!$O$11),"")</f>
        <v/>
      </c>
      <c r="X16" s="33" t="str">
        <f>IF(AND('Mapa final'!$Y$12="Alta",'Mapa final'!$AA$12="Moderado"),CONCATENATE("R1C",'Mapa final'!$O$12),"")</f>
        <v/>
      </c>
      <c r="Y16" s="33" t="str">
        <f>IF(AND('Mapa final'!$Y$13="Alta",'Mapa final'!$AA$13="Moderado"),CONCATENATE("R1C",'Mapa final'!$O$13),"")</f>
        <v/>
      </c>
      <c r="Z16" s="33" t="str">
        <f>IF(AND('Mapa final'!$Y$14="Alta",'Mapa final'!$AA$14="Moderado"),CONCATENATE("R1C",'Mapa final'!$O$14),"")</f>
        <v/>
      </c>
      <c r="AA16" s="34" t="str">
        <f>IF(AND('Mapa final'!$Y$15="Alta",'Mapa final'!$AA$15="Moderado"),CONCATENATE("R1C",'Mapa final'!$O$15),"")</f>
        <v/>
      </c>
      <c r="AB16" s="32" t="str">
        <f>IF(AND('Mapa final'!$Y$10="Alta",'Mapa final'!$AA$10="Mayor"),CONCATENATE("R1C",'Mapa final'!$O$10),"")</f>
        <v/>
      </c>
      <c r="AC16" s="33" t="str">
        <f>IF(AND('Mapa final'!$Y$11="Alta",'Mapa final'!$AA$11="Mayor"),CONCATENATE("R1C",'Mapa final'!$O$11),"")</f>
        <v/>
      </c>
      <c r="AD16" s="33" t="str">
        <f>IF(AND('Mapa final'!$Y$12="Alta",'Mapa final'!$AA$12="Mayor"),CONCATENATE("R1C",'Mapa final'!$O$12),"")</f>
        <v/>
      </c>
      <c r="AE16" s="33" t="str">
        <f>IF(AND('Mapa final'!$Y$13="Alta",'Mapa final'!$AA$13="Mayor"),CONCATENATE("R1C",'Mapa final'!$O$13),"")</f>
        <v/>
      </c>
      <c r="AF16" s="33" t="str">
        <f>IF(AND('Mapa final'!$Y$14="Alta",'Mapa final'!$AA$14="Mayor"),CONCATENATE("R1C",'Mapa final'!$O$14),"")</f>
        <v/>
      </c>
      <c r="AG16" s="34" t="str">
        <f>IF(AND('Mapa final'!$Y$15="Alta",'Mapa final'!$AA$15="Mayor"),CONCATENATE("R1C",'Mapa final'!$O$15),"")</f>
        <v/>
      </c>
      <c r="AH16" s="35" t="str">
        <f>IF(AND('Mapa final'!$Y$10="Alta",'Mapa final'!$AA$10="Catastrófico"),CONCATENATE("R1C",'Mapa final'!$O$10),"")</f>
        <v/>
      </c>
      <c r="AI16" s="36" t="str">
        <f>IF(AND('Mapa final'!$Y$11="Alta",'Mapa final'!$AA$11="Catastrófico"),CONCATENATE("R1C",'Mapa final'!$O$11),"")</f>
        <v/>
      </c>
      <c r="AJ16" s="36" t="str">
        <f>IF(AND('Mapa final'!$Y$12="Alta",'Mapa final'!$AA$12="Catastrófico"),CONCATENATE("R1C",'Mapa final'!$O$12),"")</f>
        <v/>
      </c>
      <c r="AK16" s="36" t="str">
        <f>IF(AND('Mapa final'!$Y$13="Alta",'Mapa final'!$AA$13="Catastrófico"),CONCATENATE("R1C",'Mapa final'!$O$13),"")</f>
        <v/>
      </c>
      <c r="AL16" s="36" t="str">
        <f>IF(AND('Mapa final'!$Y$14="Alta",'Mapa final'!$AA$14="Catastrófico"),CONCATENATE("R1C",'Mapa final'!$O$14),"")</f>
        <v/>
      </c>
      <c r="AM16" s="37" t="str">
        <f>IF(AND('Mapa final'!$Y$15="Alta",'Mapa final'!$AA$15="Catastrófico"),CONCATENATE("R1C",'Mapa final'!$O$15),"")</f>
        <v/>
      </c>
      <c r="AN16" s="70"/>
      <c r="AO16" s="408" t="s">
        <v>80</v>
      </c>
      <c r="AP16" s="409"/>
      <c r="AQ16" s="409"/>
      <c r="AR16" s="409"/>
      <c r="AS16" s="409"/>
      <c r="AT16" s="41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1:76" ht="15" customHeight="1" x14ac:dyDescent="0.25">
      <c r="A17" s="70"/>
      <c r="B17" s="360"/>
      <c r="C17" s="360"/>
      <c r="D17" s="361"/>
      <c r="E17" s="417"/>
      <c r="F17" s="418"/>
      <c r="G17" s="418"/>
      <c r="H17" s="418"/>
      <c r="I17" s="418"/>
      <c r="J17" s="54" t="str">
        <f>IF(AND('Mapa final'!$Y$16="Alta",'Mapa final'!$AA$16="Leve"),CONCATENATE("R2C",'Mapa final'!$O$16),"")</f>
        <v/>
      </c>
      <c r="K17" s="55" t="str">
        <f>IF(AND('Mapa final'!$Y$17="Alta",'Mapa final'!$AA$17="Leve"),CONCATENATE("R2C",'Mapa final'!$O$17),"")</f>
        <v/>
      </c>
      <c r="L17" s="55" t="str">
        <f>IF(AND('Mapa final'!$Y$18="Alta",'Mapa final'!$AA$18="Leve"),CONCATENATE("R2C",'Mapa final'!$O$18),"")</f>
        <v/>
      </c>
      <c r="M17" s="55" t="str">
        <f>IF(AND('Mapa final'!$Y$19="Alta",'Mapa final'!$AA$19="Leve"),CONCATENATE("R2C",'Mapa final'!$O$19),"")</f>
        <v/>
      </c>
      <c r="N17" s="55" t="str">
        <f>IF(AND('Mapa final'!$Y$20="Alta",'Mapa final'!$AA$20="Leve"),CONCATENATE("R2C",'Mapa final'!$O$20),"")</f>
        <v/>
      </c>
      <c r="O17" s="56" t="str">
        <f>IF(AND('Mapa final'!$Y$21="Alta",'Mapa final'!$AA$21="Leve"),CONCATENATE("R2C",'Mapa final'!$O$21),"")</f>
        <v/>
      </c>
      <c r="P17" s="54" t="str">
        <f>IF(AND('Mapa final'!$Y$16="Alta",'Mapa final'!$AA$16="Menor"),CONCATENATE("R2C",'Mapa final'!$O$16),"")</f>
        <v/>
      </c>
      <c r="Q17" s="55" t="str">
        <f>IF(AND('Mapa final'!$Y$17="Alta",'Mapa final'!$AA$17="Menor"),CONCATENATE("R2C",'Mapa final'!$O$17),"")</f>
        <v/>
      </c>
      <c r="R17" s="55" t="str">
        <f>IF(AND('Mapa final'!$Y$18="Alta",'Mapa final'!$AA$18="Menor"),CONCATENATE("R2C",'Mapa final'!$O$18),"")</f>
        <v/>
      </c>
      <c r="S17" s="55" t="str">
        <f>IF(AND('Mapa final'!$Y$19="Alta",'Mapa final'!$AA$19="Menor"),CONCATENATE("R2C",'Mapa final'!$O$19),"")</f>
        <v/>
      </c>
      <c r="T17" s="55" t="str">
        <f>IF(AND('Mapa final'!$Y$20="Alta",'Mapa final'!$AA$20="Menor"),CONCATENATE("R2C",'Mapa final'!$O$20),"")</f>
        <v/>
      </c>
      <c r="U17" s="56" t="str">
        <f>IF(AND('Mapa final'!$Y$21="Alta",'Mapa final'!$AA$21="Menor"),CONCATENATE("R2C",'Mapa final'!$O$21),"")</f>
        <v/>
      </c>
      <c r="V17" s="38" t="str">
        <f>IF(AND('Mapa final'!$Y$16="Alta",'Mapa final'!$AA$16="Moderado"),CONCATENATE("R2C",'Mapa final'!$O$16),"")</f>
        <v/>
      </c>
      <c r="W17" s="39" t="str">
        <f>IF(AND('Mapa final'!$Y$17="Alta",'Mapa final'!$AA$17="Moderado"),CONCATENATE("R2C",'Mapa final'!$O$17),"")</f>
        <v/>
      </c>
      <c r="X17" s="39" t="str">
        <f>IF(AND('Mapa final'!$Y$18="Alta",'Mapa final'!$AA$18="Moderado"),CONCATENATE("R2C",'Mapa final'!$O$18),"")</f>
        <v/>
      </c>
      <c r="Y17" s="39" t="str">
        <f>IF(AND('Mapa final'!$Y$19="Alta",'Mapa final'!$AA$19="Moderado"),CONCATENATE("R2C",'Mapa final'!$O$19),"")</f>
        <v/>
      </c>
      <c r="Z17" s="39" t="str">
        <f>IF(AND('Mapa final'!$Y$20="Alta",'Mapa final'!$AA$20="Moderado"),CONCATENATE("R2C",'Mapa final'!$O$20),"")</f>
        <v/>
      </c>
      <c r="AA17" s="40" t="str">
        <f>IF(AND('Mapa final'!$Y$21="Alta",'Mapa final'!$AA$21="Moderado"),CONCATENATE("R2C",'Mapa final'!$O$21),"")</f>
        <v/>
      </c>
      <c r="AB17" s="38" t="str">
        <f>IF(AND('Mapa final'!$Y$16="Alta",'Mapa final'!$AA$16="Mayor"),CONCATENATE("R2C",'Mapa final'!$O$16),"")</f>
        <v/>
      </c>
      <c r="AC17" s="39" t="str">
        <f>IF(AND('Mapa final'!$Y$17="Alta",'Mapa final'!$AA$17="Mayor"),CONCATENATE("R2C",'Mapa final'!$O$17),"")</f>
        <v/>
      </c>
      <c r="AD17" s="39" t="str">
        <f>IF(AND('Mapa final'!$Y$18="Alta",'Mapa final'!$AA$18="Mayor"),CONCATENATE("R2C",'Mapa final'!$O$18),"")</f>
        <v/>
      </c>
      <c r="AE17" s="39" t="str">
        <f>IF(AND('Mapa final'!$Y$19="Alta",'Mapa final'!$AA$19="Mayor"),CONCATENATE("R2C",'Mapa final'!$O$19),"")</f>
        <v/>
      </c>
      <c r="AF17" s="39" t="str">
        <f>IF(AND('Mapa final'!$Y$20="Alta",'Mapa final'!$AA$20="Mayor"),CONCATENATE("R2C",'Mapa final'!$O$20),"")</f>
        <v/>
      </c>
      <c r="AG17" s="40" t="str">
        <f>IF(AND('Mapa final'!$Y$21="Alta",'Mapa final'!$AA$21="Mayor"),CONCATENATE("R2C",'Mapa final'!$O$21),"")</f>
        <v/>
      </c>
      <c r="AH17" s="41" t="str">
        <f>IF(AND('Mapa final'!$Y$16="Alta",'Mapa final'!$AA$16="Catastrófico"),CONCATENATE("R2C",'Mapa final'!$O$16),"")</f>
        <v/>
      </c>
      <c r="AI17" s="42" t="str">
        <f>IF(AND('Mapa final'!$Y$17="Alta",'Mapa final'!$AA$17="Catastrófico"),CONCATENATE("R2C",'Mapa final'!$O$17),"")</f>
        <v/>
      </c>
      <c r="AJ17" s="42" t="str">
        <f>IF(AND('Mapa final'!$Y$18="Alta",'Mapa final'!$AA$18="Catastrófico"),CONCATENATE("R2C",'Mapa final'!$O$18),"")</f>
        <v/>
      </c>
      <c r="AK17" s="42" t="str">
        <f>IF(AND('Mapa final'!$Y$19="Alta",'Mapa final'!$AA$19="Catastrófico"),CONCATENATE("R2C",'Mapa final'!$O$19),"")</f>
        <v/>
      </c>
      <c r="AL17" s="42" t="str">
        <f>IF(AND('Mapa final'!$Y$20="Alta",'Mapa final'!$AA$20="Catastrófico"),CONCATENATE("R2C",'Mapa final'!$O$20),"")</f>
        <v/>
      </c>
      <c r="AM17" s="43" t="str">
        <f>IF(AND('Mapa final'!$Y$21="Alta",'Mapa final'!$AA$21="Catastrófico"),CONCATENATE("R2C",'Mapa final'!$O$21),"")</f>
        <v/>
      </c>
      <c r="AN17" s="70"/>
      <c r="AO17" s="411"/>
      <c r="AP17" s="412"/>
      <c r="AQ17" s="412"/>
      <c r="AR17" s="412"/>
      <c r="AS17" s="412"/>
      <c r="AT17" s="413"/>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1:76" ht="15" customHeight="1" x14ac:dyDescent="0.25">
      <c r="A18" s="70"/>
      <c r="B18" s="360"/>
      <c r="C18" s="360"/>
      <c r="D18" s="361"/>
      <c r="E18" s="401"/>
      <c r="F18" s="402"/>
      <c r="G18" s="402"/>
      <c r="H18" s="402"/>
      <c r="I18" s="418"/>
      <c r="J18" s="54" t="str">
        <f>IF(AND('Mapa final'!$Y$22="Alta",'Mapa final'!$AA$22="Leve"),CONCATENATE("R3C",'Mapa final'!$O$22),"")</f>
        <v/>
      </c>
      <c r="K18" s="55" t="str">
        <f>IF(AND('Mapa final'!$Y$23="Alta",'Mapa final'!$AA$23="Leve"),CONCATENATE("R3C",'Mapa final'!$O$23),"")</f>
        <v/>
      </c>
      <c r="L18" s="55" t="str">
        <f>IF(AND('Mapa final'!$Y$24="Alta",'Mapa final'!$AA$24="Leve"),CONCATENATE("R3C",'Mapa final'!$O$24),"")</f>
        <v/>
      </c>
      <c r="M18" s="55" t="str">
        <f>IF(AND('Mapa final'!$Y$25="Alta",'Mapa final'!$AA$25="Leve"),CONCATENATE("R3C",'Mapa final'!$O$25),"")</f>
        <v/>
      </c>
      <c r="N18" s="55" t="str">
        <f>IF(AND('Mapa final'!$Y$26="Alta",'Mapa final'!$AA$26="Leve"),CONCATENATE("R3C",'Mapa final'!$O$26),"")</f>
        <v/>
      </c>
      <c r="O18" s="56" t="str">
        <f>IF(AND('Mapa final'!$Y$27="Alta",'Mapa final'!$AA$27="Leve"),CONCATENATE("R3C",'Mapa final'!$O$27),"")</f>
        <v/>
      </c>
      <c r="P18" s="54" t="str">
        <f>IF(AND('Mapa final'!$Y$22="Alta",'Mapa final'!$AA$22="Menor"),CONCATENATE("R3C",'Mapa final'!$O$22),"")</f>
        <v/>
      </c>
      <c r="Q18" s="55" t="str">
        <f>IF(AND('Mapa final'!$Y$23="Alta",'Mapa final'!$AA$23="Menor"),CONCATENATE("R3C",'Mapa final'!$O$23),"")</f>
        <v/>
      </c>
      <c r="R18" s="55" t="str">
        <f>IF(AND('Mapa final'!$Y$24="Alta",'Mapa final'!$AA$24="Menor"),CONCATENATE("R3C",'Mapa final'!$O$24),"")</f>
        <v/>
      </c>
      <c r="S18" s="55" t="str">
        <f>IF(AND('Mapa final'!$Y$25="Alta",'Mapa final'!$AA$25="Menor"),CONCATENATE("R3C",'Mapa final'!$O$25),"")</f>
        <v/>
      </c>
      <c r="T18" s="55" t="str">
        <f>IF(AND('Mapa final'!$Y$26="Alta",'Mapa final'!$AA$26="Menor"),CONCATENATE("R3C",'Mapa final'!$O$26),"")</f>
        <v/>
      </c>
      <c r="U18" s="56" t="str">
        <f>IF(AND('Mapa final'!$Y$27="Alta",'Mapa final'!$AA$27="Menor"),CONCATENATE("R3C",'Mapa final'!$O$27),"")</f>
        <v/>
      </c>
      <c r="V18" s="38" t="str">
        <f>IF(AND('Mapa final'!$Y$22="Alta",'Mapa final'!$AA$22="Moderado"),CONCATENATE("R3C",'Mapa final'!$O$22),"")</f>
        <v/>
      </c>
      <c r="W18" s="39" t="str">
        <f>IF(AND('Mapa final'!$Y$23="Alta",'Mapa final'!$AA$23="Moderado"),CONCATENATE("R3C",'Mapa final'!$O$23),"")</f>
        <v/>
      </c>
      <c r="X18" s="39" t="str">
        <f>IF(AND('Mapa final'!$Y$24="Alta",'Mapa final'!$AA$24="Moderado"),CONCATENATE("R3C",'Mapa final'!$O$24),"")</f>
        <v/>
      </c>
      <c r="Y18" s="39" t="str">
        <f>IF(AND('Mapa final'!$Y$25="Alta",'Mapa final'!$AA$25="Moderado"),CONCATENATE("R3C",'Mapa final'!$O$25),"")</f>
        <v/>
      </c>
      <c r="Z18" s="39" t="str">
        <f>IF(AND('Mapa final'!$Y$26="Alta",'Mapa final'!$AA$26="Moderado"),CONCATENATE("R3C",'Mapa final'!$O$26),"")</f>
        <v/>
      </c>
      <c r="AA18" s="40" t="str">
        <f>IF(AND('Mapa final'!$Y$27="Alta",'Mapa final'!$AA$27="Moderado"),CONCATENATE("R3C",'Mapa final'!$O$27),"")</f>
        <v/>
      </c>
      <c r="AB18" s="38" t="str">
        <f>IF(AND('Mapa final'!$Y$22="Alta",'Mapa final'!$AA$22="Mayor"),CONCATENATE("R3C",'Mapa final'!$O$22),"")</f>
        <v/>
      </c>
      <c r="AC18" s="39" t="str">
        <f>IF(AND('Mapa final'!$Y$23="Alta",'Mapa final'!$AA$23="Mayor"),CONCATENATE("R3C",'Mapa final'!$O$23),"")</f>
        <v/>
      </c>
      <c r="AD18" s="39" t="str">
        <f>IF(AND('Mapa final'!$Y$24="Alta",'Mapa final'!$AA$24="Mayor"),CONCATENATE("R3C",'Mapa final'!$O$24),"")</f>
        <v/>
      </c>
      <c r="AE18" s="39" t="str">
        <f>IF(AND('Mapa final'!$Y$25="Alta",'Mapa final'!$AA$25="Mayor"),CONCATENATE("R3C",'Mapa final'!$O$25),"")</f>
        <v/>
      </c>
      <c r="AF18" s="39" t="str">
        <f>IF(AND('Mapa final'!$Y$26="Alta",'Mapa final'!$AA$26="Mayor"),CONCATENATE("R3C",'Mapa final'!$O$26),"")</f>
        <v/>
      </c>
      <c r="AG18" s="40" t="str">
        <f>IF(AND('Mapa final'!$Y$27="Alta",'Mapa final'!$AA$27="Mayor"),CONCATENATE("R3C",'Mapa final'!$O$27),"")</f>
        <v/>
      </c>
      <c r="AH18" s="41" t="str">
        <f>IF(AND('Mapa final'!$Y$22="Alta",'Mapa final'!$AA$22="Catastrófico"),CONCATENATE("R3C",'Mapa final'!$O$22),"")</f>
        <v/>
      </c>
      <c r="AI18" s="42" t="str">
        <f>IF(AND('Mapa final'!$Y$23="Alta",'Mapa final'!$AA$23="Catastrófico"),CONCATENATE("R3C",'Mapa final'!$O$23),"")</f>
        <v/>
      </c>
      <c r="AJ18" s="42" t="str">
        <f>IF(AND('Mapa final'!$Y$24="Alta",'Mapa final'!$AA$24="Catastrófico"),CONCATENATE("R3C",'Mapa final'!$O$24),"")</f>
        <v/>
      </c>
      <c r="AK18" s="42" t="str">
        <f>IF(AND('Mapa final'!$Y$25="Alta",'Mapa final'!$AA$25="Catastrófico"),CONCATENATE("R3C",'Mapa final'!$O$25),"")</f>
        <v/>
      </c>
      <c r="AL18" s="42" t="str">
        <f>IF(AND('Mapa final'!$Y$26="Alta",'Mapa final'!$AA$26="Catastrófico"),CONCATENATE("R3C",'Mapa final'!$O$26),"")</f>
        <v/>
      </c>
      <c r="AM18" s="43" t="str">
        <f>IF(AND('Mapa final'!$Y$27="Alta",'Mapa final'!$AA$27="Catastrófico"),CONCATENATE("R3C",'Mapa final'!$O$27),"")</f>
        <v/>
      </c>
      <c r="AN18" s="70"/>
      <c r="AO18" s="411"/>
      <c r="AP18" s="412"/>
      <c r="AQ18" s="412"/>
      <c r="AR18" s="412"/>
      <c r="AS18" s="412"/>
      <c r="AT18" s="413"/>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1:76" ht="15" customHeight="1" x14ac:dyDescent="0.25">
      <c r="A19" s="70"/>
      <c r="B19" s="360"/>
      <c r="C19" s="360"/>
      <c r="D19" s="361"/>
      <c r="E19" s="401"/>
      <c r="F19" s="402"/>
      <c r="G19" s="402"/>
      <c r="H19" s="402"/>
      <c r="I19" s="418"/>
      <c r="J19" s="54" t="str">
        <f>IF(AND('Mapa final'!$Y$28="Alta",'Mapa final'!$AA$28="Leve"),CONCATENATE("R4C",'Mapa final'!$O$28),"")</f>
        <v/>
      </c>
      <c r="K19" s="55" t="str">
        <f>IF(AND('Mapa final'!$Y$29="Alta",'Mapa final'!$AA$29="Leve"),CONCATENATE("R4C",'Mapa final'!$O$29),"")</f>
        <v/>
      </c>
      <c r="L19" s="55" t="str">
        <f>IF(AND('Mapa final'!$Y$30="Alta",'Mapa final'!$AA$30="Leve"),CONCATENATE("R4C",'Mapa final'!$O$30),"")</f>
        <v/>
      </c>
      <c r="M19" s="55" t="str">
        <f>IF(AND('Mapa final'!$Y$31="Alta",'Mapa final'!$AA$31="Leve"),CONCATENATE("R4C",'Mapa final'!$O$31),"")</f>
        <v/>
      </c>
      <c r="N19" s="55" t="str">
        <f>IF(AND('Mapa final'!$Y$32="Alta",'Mapa final'!$AA$32="Leve"),CONCATENATE("R4C",'Mapa final'!$O$32),"")</f>
        <v/>
      </c>
      <c r="O19" s="56" t="str">
        <f>IF(AND('Mapa final'!$Y$33="Alta",'Mapa final'!$AA$33="Leve"),CONCATENATE("R4C",'Mapa final'!$O$33),"")</f>
        <v/>
      </c>
      <c r="P19" s="54" t="str">
        <f>IF(AND('Mapa final'!$Y$28="Alta",'Mapa final'!$AA$28="Menor"),CONCATENATE("R4C",'Mapa final'!$O$28),"")</f>
        <v/>
      </c>
      <c r="Q19" s="55" t="str">
        <f>IF(AND('Mapa final'!$Y$29="Alta",'Mapa final'!$AA$29="Menor"),CONCATENATE("R4C",'Mapa final'!$O$29),"")</f>
        <v/>
      </c>
      <c r="R19" s="55" t="str">
        <f>IF(AND('Mapa final'!$Y$30="Alta",'Mapa final'!$AA$30="Menor"),CONCATENATE("R4C",'Mapa final'!$O$30),"")</f>
        <v/>
      </c>
      <c r="S19" s="55" t="str">
        <f>IF(AND('Mapa final'!$Y$31="Alta",'Mapa final'!$AA$31="Menor"),CONCATENATE("R4C",'Mapa final'!$O$31),"")</f>
        <v/>
      </c>
      <c r="T19" s="55" t="str">
        <f>IF(AND('Mapa final'!$Y$32="Alta",'Mapa final'!$AA$32="Menor"),CONCATENATE("R4C",'Mapa final'!$O$32),"")</f>
        <v/>
      </c>
      <c r="U19" s="56" t="str">
        <f>IF(AND('Mapa final'!$Y$33="Alta",'Mapa final'!$AA$33="Menor"),CONCATENATE("R4C",'Mapa final'!$O$33),"")</f>
        <v/>
      </c>
      <c r="V19" s="38" t="str">
        <f>IF(AND('Mapa final'!$Y$28="Alta",'Mapa final'!$AA$28="Moderado"),CONCATENATE("R4C",'Mapa final'!$O$28),"")</f>
        <v/>
      </c>
      <c r="W19" s="39" t="str">
        <f>IF(AND('Mapa final'!$Y$29="Alta",'Mapa final'!$AA$29="Moderado"),CONCATENATE("R4C",'Mapa final'!$O$29),"")</f>
        <v/>
      </c>
      <c r="X19" s="44" t="str">
        <f>IF(AND('Mapa final'!$Y$30="Alta",'Mapa final'!$AA$30="Moderado"),CONCATENATE("R4C",'Mapa final'!$O$30),"")</f>
        <v/>
      </c>
      <c r="Y19" s="44" t="str">
        <f>IF(AND('Mapa final'!$Y$31="Alta",'Mapa final'!$AA$31="Moderado"),CONCATENATE("R4C",'Mapa final'!$O$31),"")</f>
        <v/>
      </c>
      <c r="Z19" s="44" t="str">
        <f>IF(AND('Mapa final'!$Y$32="Alta",'Mapa final'!$AA$32="Moderado"),CONCATENATE("R4C",'Mapa final'!$O$32),"")</f>
        <v/>
      </c>
      <c r="AA19" s="40" t="str">
        <f>IF(AND('Mapa final'!$Y$33="Alta",'Mapa final'!$AA$33="Moderado"),CONCATENATE("R4C",'Mapa final'!$O$33),"")</f>
        <v/>
      </c>
      <c r="AB19" s="38" t="str">
        <f>IF(AND('Mapa final'!$Y$28="Alta",'Mapa final'!$AA$28="Mayor"),CONCATENATE("R4C",'Mapa final'!$O$28),"")</f>
        <v/>
      </c>
      <c r="AC19" s="39" t="str">
        <f>IF(AND('Mapa final'!$Y$29="Alta",'Mapa final'!$AA$29="Mayor"),CONCATENATE("R4C",'Mapa final'!$O$29),"")</f>
        <v/>
      </c>
      <c r="AD19" s="44" t="str">
        <f>IF(AND('Mapa final'!$Y$30="Alta",'Mapa final'!$AA$30="Mayor"),CONCATENATE("R4C",'Mapa final'!$O$30),"")</f>
        <v/>
      </c>
      <c r="AE19" s="44" t="str">
        <f>IF(AND('Mapa final'!$Y$31="Alta",'Mapa final'!$AA$31="Mayor"),CONCATENATE("R4C",'Mapa final'!$O$31),"")</f>
        <v/>
      </c>
      <c r="AF19" s="44" t="str">
        <f>IF(AND('Mapa final'!$Y$32="Alta",'Mapa final'!$AA$32="Mayor"),CONCATENATE("R4C",'Mapa final'!$O$32),"")</f>
        <v/>
      </c>
      <c r="AG19" s="40" t="str">
        <f>IF(AND('Mapa final'!$Y$33="Alta",'Mapa final'!$AA$33="Mayor"),CONCATENATE("R4C",'Mapa final'!$O$33),"")</f>
        <v/>
      </c>
      <c r="AH19" s="41" t="str">
        <f>IF(AND('Mapa final'!$Y$28="Alta",'Mapa final'!$AA$28="Catastrófico"),CONCATENATE("R4C",'Mapa final'!$O$28),"")</f>
        <v/>
      </c>
      <c r="AI19" s="42" t="str">
        <f>IF(AND('Mapa final'!$Y$29="Alta",'Mapa final'!$AA$29="Catastrófico"),CONCATENATE("R4C",'Mapa final'!$O$29),"")</f>
        <v/>
      </c>
      <c r="AJ19" s="42" t="str">
        <f>IF(AND('Mapa final'!$Y$30="Alta",'Mapa final'!$AA$30="Catastrófico"),CONCATENATE("R4C",'Mapa final'!$O$30),"")</f>
        <v/>
      </c>
      <c r="AK19" s="42" t="str">
        <f>IF(AND('Mapa final'!$Y$31="Alta",'Mapa final'!$AA$31="Catastrófico"),CONCATENATE("R4C",'Mapa final'!$O$31),"")</f>
        <v/>
      </c>
      <c r="AL19" s="42" t="str">
        <f>IF(AND('Mapa final'!$Y$32="Alta",'Mapa final'!$AA$32="Catastrófico"),CONCATENATE("R4C",'Mapa final'!$O$32),"")</f>
        <v/>
      </c>
      <c r="AM19" s="43" t="str">
        <f>IF(AND('Mapa final'!$Y$33="Alta",'Mapa final'!$AA$33="Catastrófico"),CONCATENATE("R4C",'Mapa final'!$O$33),"")</f>
        <v/>
      </c>
      <c r="AN19" s="70"/>
      <c r="AO19" s="411"/>
      <c r="AP19" s="412"/>
      <c r="AQ19" s="412"/>
      <c r="AR19" s="412"/>
      <c r="AS19" s="412"/>
      <c r="AT19" s="413"/>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1:76" ht="15" customHeight="1" x14ac:dyDescent="0.25">
      <c r="A20" s="70"/>
      <c r="B20" s="360"/>
      <c r="C20" s="360"/>
      <c r="D20" s="361"/>
      <c r="E20" s="401"/>
      <c r="F20" s="402"/>
      <c r="G20" s="402"/>
      <c r="H20" s="402"/>
      <c r="I20" s="418"/>
      <c r="J20" s="54" t="str">
        <f>IF(AND('Mapa final'!$Y$34="Alta",'Mapa final'!$AA$34="Leve"),CONCATENATE("R5C",'Mapa final'!$O$34),"")</f>
        <v/>
      </c>
      <c r="K20" s="55" t="str">
        <f>IF(AND('Mapa final'!$Y$35="Alta",'Mapa final'!$AA$35="Leve"),CONCATENATE("R5C",'Mapa final'!$O$35),"")</f>
        <v/>
      </c>
      <c r="L20" s="55" t="str">
        <f>IF(AND('Mapa final'!$Y$36="Alta",'Mapa final'!$AA$36="Leve"),CONCATENATE("R5C",'Mapa final'!$O$36),"")</f>
        <v/>
      </c>
      <c r="M20" s="55" t="str">
        <f>IF(AND('Mapa final'!$Y$37="Alta",'Mapa final'!$AA$37="Leve"),CONCATENATE("R5C",'Mapa final'!$O$37),"")</f>
        <v/>
      </c>
      <c r="N20" s="55" t="str">
        <f>IF(AND('Mapa final'!$Y$38="Alta",'Mapa final'!$AA$38="Leve"),CONCATENATE("R5C",'Mapa final'!$O$38),"")</f>
        <v/>
      </c>
      <c r="O20" s="56" t="str">
        <f>IF(AND('Mapa final'!$Y$39="Alta",'Mapa final'!$AA$39="Leve"),CONCATENATE("R5C",'Mapa final'!$O$39),"")</f>
        <v/>
      </c>
      <c r="P20" s="54" t="str">
        <f>IF(AND('Mapa final'!$Y$34="Alta",'Mapa final'!$AA$34="Menor"),CONCATENATE("R5C",'Mapa final'!$O$34),"")</f>
        <v/>
      </c>
      <c r="Q20" s="55" t="str">
        <f>IF(AND('Mapa final'!$Y$35="Alta",'Mapa final'!$AA$35="Menor"),CONCATENATE("R5C",'Mapa final'!$O$35),"")</f>
        <v/>
      </c>
      <c r="R20" s="55" t="str">
        <f>IF(AND('Mapa final'!$Y$36="Alta",'Mapa final'!$AA$36="Menor"),CONCATENATE("R5C",'Mapa final'!$O$36),"")</f>
        <v/>
      </c>
      <c r="S20" s="55" t="str">
        <f>IF(AND('Mapa final'!$Y$37="Alta",'Mapa final'!$AA$37="Menor"),CONCATENATE("R5C",'Mapa final'!$O$37),"")</f>
        <v/>
      </c>
      <c r="T20" s="55" t="str">
        <f>IF(AND('Mapa final'!$Y$38="Alta",'Mapa final'!$AA$38="Menor"),CONCATENATE("R5C",'Mapa final'!$O$38),"")</f>
        <v/>
      </c>
      <c r="U20" s="56" t="str">
        <f>IF(AND('Mapa final'!$Y$39="Alta",'Mapa final'!$AA$39="Menor"),CONCATENATE("R5C",'Mapa final'!$O$39),"")</f>
        <v/>
      </c>
      <c r="V20" s="38" t="str">
        <f>IF(AND('Mapa final'!$Y$34="Alta",'Mapa final'!$AA$34="Moderado"),CONCATENATE("R5C",'Mapa final'!$O$34),"")</f>
        <v/>
      </c>
      <c r="W20" s="39" t="str">
        <f>IF(AND('Mapa final'!$Y$35="Alta",'Mapa final'!$AA$35="Moderado"),CONCATENATE("R5C",'Mapa final'!$O$35),"")</f>
        <v/>
      </c>
      <c r="X20" s="44" t="str">
        <f>IF(AND('Mapa final'!$Y$36="Alta",'Mapa final'!$AA$36="Moderado"),CONCATENATE("R5C",'Mapa final'!$O$36),"")</f>
        <v/>
      </c>
      <c r="Y20" s="44" t="str">
        <f>IF(AND('Mapa final'!$Y$37="Alta",'Mapa final'!$AA$37="Moderado"),CONCATENATE("R5C",'Mapa final'!$O$37),"")</f>
        <v/>
      </c>
      <c r="Z20" s="44" t="str">
        <f>IF(AND('Mapa final'!$Y$38="Alta",'Mapa final'!$AA$38="Moderado"),CONCATENATE("R5C",'Mapa final'!$O$38),"")</f>
        <v/>
      </c>
      <c r="AA20" s="40" t="str">
        <f>IF(AND('Mapa final'!$Y$39="Alta",'Mapa final'!$AA$39="Moderado"),CONCATENATE("R5C",'Mapa final'!$O$39),"")</f>
        <v/>
      </c>
      <c r="AB20" s="38" t="str">
        <f>IF(AND('Mapa final'!$Y$34="Alta",'Mapa final'!$AA$34="Mayor"),CONCATENATE("R5C",'Mapa final'!$O$34),"")</f>
        <v/>
      </c>
      <c r="AC20" s="39" t="str">
        <f>IF(AND('Mapa final'!$Y$35="Alta",'Mapa final'!$AA$35="Mayor"),CONCATENATE("R5C",'Mapa final'!$O$35),"")</f>
        <v/>
      </c>
      <c r="AD20" s="44" t="str">
        <f>IF(AND('Mapa final'!$Y$36="Alta",'Mapa final'!$AA$36="Mayor"),CONCATENATE("R5C",'Mapa final'!$O$36),"")</f>
        <v/>
      </c>
      <c r="AE20" s="44" t="str">
        <f>IF(AND('Mapa final'!$Y$37="Alta",'Mapa final'!$AA$37="Mayor"),CONCATENATE("R5C",'Mapa final'!$O$37),"")</f>
        <v/>
      </c>
      <c r="AF20" s="44" t="str">
        <f>IF(AND('Mapa final'!$Y$38="Alta",'Mapa final'!$AA$38="Mayor"),CONCATENATE("R5C",'Mapa final'!$O$38),"")</f>
        <v/>
      </c>
      <c r="AG20" s="40" t="str">
        <f>IF(AND('Mapa final'!$Y$39="Alta",'Mapa final'!$AA$39="Mayor"),CONCATENATE("R5C",'Mapa final'!$O$39),"")</f>
        <v/>
      </c>
      <c r="AH20" s="41" t="str">
        <f>IF(AND('Mapa final'!$Y$34="Alta",'Mapa final'!$AA$34="Catastrófico"),CONCATENATE("R5C",'Mapa final'!$O$34),"")</f>
        <v/>
      </c>
      <c r="AI20" s="42" t="str">
        <f>IF(AND('Mapa final'!$Y$35="Alta",'Mapa final'!$AA$35="Catastrófico"),CONCATENATE("R5C",'Mapa final'!$O$35),"")</f>
        <v/>
      </c>
      <c r="AJ20" s="42" t="str">
        <f>IF(AND('Mapa final'!$Y$36="Alta",'Mapa final'!$AA$36="Catastrófico"),CONCATENATE("R5C",'Mapa final'!$O$36),"")</f>
        <v/>
      </c>
      <c r="AK20" s="42" t="str">
        <f>IF(AND('Mapa final'!$Y$37="Alta",'Mapa final'!$AA$37="Catastrófico"),CONCATENATE("R5C",'Mapa final'!$O$37),"")</f>
        <v/>
      </c>
      <c r="AL20" s="42" t="str">
        <f>IF(AND('Mapa final'!$Y$38="Alta",'Mapa final'!$AA$38="Catastrófico"),CONCATENATE("R5C",'Mapa final'!$O$38),"")</f>
        <v/>
      </c>
      <c r="AM20" s="43" t="str">
        <f>IF(AND('Mapa final'!$Y$39="Alta",'Mapa final'!$AA$39="Catastrófico"),CONCATENATE("R5C",'Mapa final'!$O$39),"")</f>
        <v/>
      </c>
      <c r="AN20" s="70"/>
      <c r="AO20" s="411"/>
      <c r="AP20" s="412"/>
      <c r="AQ20" s="412"/>
      <c r="AR20" s="412"/>
      <c r="AS20" s="412"/>
      <c r="AT20" s="413"/>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row>
    <row r="21" spans="1:76" ht="15" customHeight="1" x14ac:dyDescent="0.25">
      <c r="A21" s="70"/>
      <c r="B21" s="360"/>
      <c r="C21" s="360"/>
      <c r="D21" s="361"/>
      <c r="E21" s="401"/>
      <c r="F21" s="402"/>
      <c r="G21" s="402"/>
      <c r="H21" s="402"/>
      <c r="I21" s="418"/>
      <c r="J21" s="54" t="str">
        <f>IF(AND('Mapa final'!$Y$40="Alta",'Mapa final'!$AA$40="Leve"),CONCATENATE("R6C",'Mapa final'!$O$40),"")</f>
        <v/>
      </c>
      <c r="K21" s="55" t="str">
        <f>IF(AND('Mapa final'!$Y$41="Alta",'Mapa final'!$AA$41="Leve"),CONCATENATE("R6C",'Mapa final'!$O$41),"")</f>
        <v/>
      </c>
      <c r="L21" s="55" t="str">
        <f>IF(AND('Mapa final'!$Y$42="Alta",'Mapa final'!$AA$42="Leve"),CONCATENATE("R6C",'Mapa final'!$O$42),"")</f>
        <v/>
      </c>
      <c r="M21" s="55" t="str">
        <f>IF(AND('Mapa final'!$Y$43="Alta",'Mapa final'!$AA$43="Leve"),CONCATENATE("R6C",'Mapa final'!$O$43),"")</f>
        <v/>
      </c>
      <c r="N21" s="55" t="str">
        <f>IF(AND('Mapa final'!$Y$44="Alta",'Mapa final'!$AA$44="Leve"),CONCATENATE("R6C",'Mapa final'!$O$44),"")</f>
        <v/>
      </c>
      <c r="O21" s="56" t="str">
        <f>IF(AND('Mapa final'!$Y$45="Alta",'Mapa final'!$AA$45="Leve"),CONCATENATE("R6C",'Mapa final'!$O$45),"")</f>
        <v/>
      </c>
      <c r="P21" s="54" t="str">
        <f>IF(AND('Mapa final'!$Y$40="Alta",'Mapa final'!$AA$40="Menor"),CONCATENATE("R6C",'Mapa final'!$O$40),"")</f>
        <v/>
      </c>
      <c r="Q21" s="55" t="str">
        <f>IF(AND('Mapa final'!$Y$41="Alta",'Mapa final'!$AA$41="Menor"),CONCATENATE("R6C",'Mapa final'!$O$41),"")</f>
        <v/>
      </c>
      <c r="R21" s="55" t="str">
        <f>IF(AND('Mapa final'!$Y$42="Alta",'Mapa final'!$AA$42="Menor"),CONCATENATE("R6C",'Mapa final'!$O$42),"")</f>
        <v/>
      </c>
      <c r="S21" s="55" t="str">
        <f>IF(AND('Mapa final'!$Y$43="Alta",'Mapa final'!$AA$43="Menor"),CONCATENATE("R6C",'Mapa final'!$O$43),"")</f>
        <v/>
      </c>
      <c r="T21" s="55" t="str">
        <f>IF(AND('Mapa final'!$Y$44="Alta",'Mapa final'!$AA$44="Menor"),CONCATENATE("R6C",'Mapa final'!$O$44),"")</f>
        <v/>
      </c>
      <c r="U21" s="56" t="str">
        <f>IF(AND('Mapa final'!$Y$45="Alta",'Mapa final'!$AA$45="Menor"),CONCATENATE("R6C",'Mapa final'!$O$45),"")</f>
        <v/>
      </c>
      <c r="V21" s="38" t="str">
        <f>IF(AND('Mapa final'!$Y$40="Alta",'Mapa final'!$AA$40="Moderado"),CONCATENATE("R6C",'Mapa final'!$O$40),"")</f>
        <v/>
      </c>
      <c r="W21" s="39" t="str">
        <f>IF(AND('Mapa final'!$Y$41="Alta",'Mapa final'!$AA$41="Moderado"),CONCATENATE("R6C",'Mapa final'!$O$41),"")</f>
        <v/>
      </c>
      <c r="X21" s="44" t="str">
        <f>IF(AND('Mapa final'!$Y$42="Alta",'Mapa final'!$AA$42="Moderado"),CONCATENATE("R6C",'Mapa final'!$O$42),"")</f>
        <v/>
      </c>
      <c r="Y21" s="44" t="str">
        <f>IF(AND('Mapa final'!$Y$43="Alta",'Mapa final'!$AA$43="Moderado"),CONCATENATE("R6C",'Mapa final'!$O$43),"")</f>
        <v/>
      </c>
      <c r="Z21" s="44" t="str">
        <f>IF(AND('Mapa final'!$Y$44="Alta",'Mapa final'!$AA$44="Moderado"),CONCATENATE("R6C",'Mapa final'!$O$44),"")</f>
        <v/>
      </c>
      <c r="AA21" s="40" t="str">
        <f>IF(AND('Mapa final'!$Y$45="Alta",'Mapa final'!$AA$45="Moderado"),CONCATENATE("R6C",'Mapa final'!$O$45),"")</f>
        <v/>
      </c>
      <c r="AB21" s="38" t="str">
        <f>IF(AND('Mapa final'!$Y$40="Alta",'Mapa final'!$AA$40="Mayor"),CONCATENATE("R6C",'Mapa final'!$O$40),"")</f>
        <v/>
      </c>
      <c r="AC21" s="39" t="str">
        <f>IF(AND('Mapa final'!$Y$41="Alta",'Mapa final'!$AA$41="Mayor"),CONCATENATE("R6C",'Mapa final'!$O$41),"")</f>
        <v/>
      </c>
      <c r="AD21" s="44" t="str">
        <f>IF(AND('Mapa final'!$Y$42="Alta",'Mapa final'!$AA$42="Mayor"),CONCATENATE("R6C",'Mapa final'!$O$42),"")</f>
        <v/>
      </c>
      <c r="AE21" s="44" t="str">
        <f>IF(AND('Mapa final'!$Y$43="Alta",'Mapa final'!$AA$43="Mayor"),CONCATENATE("R6C",'Mapa final'!$O$43),"")</f>
        <v/>
      </c>
      <c r="AF21" s="44" t="str">
        <f>IF(AND('Mapa final'!$Y$44="Alta",'Mapa final'!$AA$44="Mayor"),CONCATENATE("R6C",'Mapa final'!$O$44),"")</f>
        <v/>
      </c>
      <c r="AG21" s="40" t="str">
        <f>IF(AND('Mapa final'!$Y$45="Alta",'Mapa final'!$AA$45="Mayor"),CONCATENATE("R6C",'Mapa final'!$O$45),"")</f>
        <v/>
      </c>
      <c r="AH21" s="41" t="str">
        <f>IF(AND('Mapa final'!$Y$40="Alta",'Mapa final'!$AA$40="Catastrófico"),CONCATENATE("R6C",'Mapa final'!$O$40),"")</f>
        <v/>
      </c>
      <c r="AI21" s="42" t="str">
        <f>IF(AND('Mapa final'!$Y$41="Alta",'Mapa final'!$AA$41="Catastrófico"),CONCATENATE("R6C",'Mapa final'!$O$41),"")</f>
        <v/>
      </c>
      <c r="AJ21" s="42" t="str">
        <f>IF(AND('Mapa final'!$Y$42="Alta",'Mapa final'!$AA$42="Catastrófico"),CONCATENATE("R6C",'Mapa final'!$O$42),"")</f>
        <v/>
      </c>
      <c r="AK21" s="42" t="str">
        <f>IF(AND('Mapa final'!$Y$43="Alta",'Mapa final'!$AA$43="Catastrófico"),CONCATENATE("R6C",'Mapa final'!$O$43),"")</f>
        <v/>
      </c>
      <c r="AL21" s="42" t="str">
        <f>IF(AND('Mapa final'!$Y$44="Alta",'Mapa final'!$AA$44="Catastrófico"),CONCATENATE("R6C",'Mapa final'!$O$44),"")</f>
        <v/>
      </c>
      <c r="AM21" s="43" t="str">
        <f>IF(AND('Mapa final'!$Y$45="Alta",'Mapa final'!$AA$45="Catastrófico"),CONCATENATE("R6C",'Mapa final'!$O$45),"")</f>
        <v/>
      </c>
      <c r="AN21" s="70"/>
      <c r="AO21" s="411"/>
      <c r="AP21" s="412"/>
      <c r="AQ21" s="412"/>
      <c r="AR21" s="412"/>
      <c r="AS21" s="412"/>
      <c r="AT21" s="413"/>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row>
    <row r="22" spans="1:76" ht="15" customHeight="1" x14ac:dyDescent="0.25">
      <c r="A22" s="70"/>
      <c r="B22" s="360"/>
      <c r="C22" s="360"/>
      <c r="D22" s="361"/>
      <c r="E22" s="401"/>
      <c r="F22" s="402"/>
      <c r="G22" s="402"/>
      <c r="H22" s="402"/>
      <c r="I22" s="418"/>
      <c r="J22" s="54" t="str">
        <f>IF(AND('Mapa final'!$Y$46="Alta",'Mapa final'!$AA$46="Leve"),CONCATENATE("R7C",'Mapa final'!$O$46),"")</f>
        <v/>
      </c>
      <c r="K22" s="55" t="str">
        <f>IF(AND('Mapa final'!$Y$47="Alta",'Mapa final'!$AA$47="Leve"),CONCATENATE("R7C",'Mapa final'!$O$47),"")</f>
        <v/>
      </c>
      <c r="L22" s="55" t="str">
        <f>IF(AND('Mapa final'!$Y$48="Alta",'Mapa final'!$AA$48="Leve"),CONCATENATE("R7C",'Mapa final'!$O$48),"")</f>
        <v/>
      </c>
      <c r="M22" s="55" t="str">
        <f>IF(AND('Mapa final'!$Y$49="Alta",'Mapa final'!$AA$49="Leve"),CONCATENATE("R7C",'Mapa final'!$O$49),"")</f>
        <v/>
      </c>
      <c r="N22" s="55" t="str">
        <f>IF(AND('Mapa final'!$Y$50="Alta",'Mapa final'!$AA$50="Leve"),CONCATENATE("R7C",'Mapa final'!$O$50),"")</f>
        <v/>
      </c>
      <c r="O22" s="56" t="str">
        <f>IF(AND('Mapa final'!$Y$51="Alta",'Mapa final'!$AA$51="Leve"),CONCATENATE("R7C",'Mapa final'!$O$51),"")</f>
        <v/>
      </c>
      <c r="P22" s="54" t="str">
        <f>IF(AND('Mapa final'!$Y$46="Alta",'Mapa final'!$AA$46="Menor"),CONCATENATE("R7C",'Mapa final'!$O$46),"")</f>
        <v/>
      </c>
      <c r="Q22" s="55" t="str">
        <f>IF(AND('Mapa final'!$Y$47="Alta",'Mapa final'!$AA$47="Menor"),CONCATENATE("R7C",'Mapa final'!$O$47),"")</f>
        <v/>
      </c>
      <c r="R22" s="55" t="str">
        <f>IF(AND('Mapa final'!$Y$48="Alta",'Mapa final'!$AA$48="Menor"),CONCATENATE("R7C",'Mapa final'!$O$48),"")</f>
        <v/>
      </c>
      <c r="S22" s="55" t="str">
        <f>IF(AND('Mapa final'!$Y$49="Alta",'Mapa final'!$AA$49="Menor"),CONCATENATE("R7C",'Mapa final'!$O$49),"")</f>
        <v/>
      </c>
      <c r="T22" s="55" t="str">
        <f>IF(AND('Mapa final'!$Y$50="Alta",'Mapa final'!$AA$50="Menor"),CONCATENATE("R7C",'Mapa final'!$O$50),"")</f>
        <v/>
      </c>
      <c r="U22" s="56" t="str">
        <f>IF(AND('Mapa final'!$Y$51="Alta",'Mapa final'!$AA$51="Menor"),CONCATENATE("R7C",'Mapa final'!$O$51),"")</f>
        <v/>
      </c>
      <c r="V22" s="38" t="str">
        <f>IF(AND('Mapa final'!$Y$46="Alta",'Mapa final'!$AA$46="Moderado"),CONCATENATE("R7C",'Mapa final'!$O$46),"")</f>
        <v/>
      </c>
      <c r="W22" s="39" t="str">
        <f>IF(AND('Mapa final'!$Y$47="Alta",'Mapa final'!$AA$47="Moderado"),CONCATENATE("R7C",'Mapa final'!$O$47),"")</f>
        <v/>
      </c>
      <c r="X22" s="44" t="str">
        <f>IF(AND('Mapa final'!$Y$48="Alta",'Mapa final'!$AA$48="Moderado"),CONCATENATE("R7C",'Mapa final'!$O$48),"")</f>
        <v/>
      </c>
      <c r="Y22" s="44" t="str">
        <f>IF(AND('Mapa final'!$Y$49="Alta",'Mapa final'!$AA$49="Moderado"),CONCATENATE("R7C",'Mapa final'!$O$49),"")</f>
        <v/>
      </c>
      <c r="Z22" s="44" t="str">
        <f>IF(AND('Mapa final'!$Y$50="Alta",'Mapa final'!$AA$50="Moderado"),CONCATENATE("R7C",'Mapa final'!$O$50),"")</f>
        <v/>
      </c>
      <c r="AA22" s="40" t="str">
        <f>IF(AND('Mapa final'!$Y$51="Alta",'Mapa final'!$AA$51="Moderado"),CONCATENATE("R7C",'Mapa final'!$O$51),"")</f>
        <v/>
      </c>
      <c r="AB22" s="38" t="str">
        <f>IF(AND('Mapa final'!$Y$46="Alta",'Mapa final'!$AA$46="Mayor"),CONCATENATE("R7C",'Mapa final'!$O$46),"")</f>
        <v/>
      </c>
      <c r="AC22" s="39" t="str">
        <f>IF(AND('Mapa final'!$Y$47="Alta",'Mapa final'!$AA$47="Mayor"),CONCATENATE("R7C",'Mapa final'!$O$47),"")</f>
        <v/>
      </c>
      <c r="AD22" s="44" t="str">
        <f>IF(AND('Mapa final'!$Y$48="Alta",'Mapa final'!$AA$48="Mayor"),CONCATENATE("R7C",'Mapa final'!$O$48),"")</f>
        <v/>
      </c>
      <c r="AE22" s="44" t="str">
        <f>IF(AND('Mapa final'!$Y$49="Alta",'Mapa final'!$AA$49="Mayor"),CONCATENATE("R7C",'Mapa final'!$O$49),"")</f>
        <v/>
      </c>
      <c r="AF22" s="44" t="str">
        <f>IF(AND('Mapa final'!$Y$50="Alta",'Mapa final'!$AA$50="Mayor"),CONCATENATE("R7C",'Mapa final'!$O$50),"")</f>
        <v/>
      </c>
      <c r="AG22" s="40" t="str">
        <f>IF(AND('Mapa final'!$Y$51="Alta",'Mapa final'!$AA$51="Mayor"),CONCATENATE("R7C",'Mapa final'!$O$51),"")</f>
        <v/>
      </c>
      <c r="AH22" s="41" t="str">
        <f>IF(AND('Mapa final'!$Y$46="Alta",'Mapa final'!$AA$46="Catastrófico"),CONCATENATE("R7C",'Mapa final'!$O$46),"")</f>
        <v/>
      </c>
      <c r="AI22" s="42" t="str">
        <f>IF(AND('Mapa final'!$Y$47="Alta",'Mapa final'!$AA$47="Catastrófico"),CONCATENATE("R7C",'Mapa final'!$O$47),"")</f>
        <v/>
      </c>
      <c r="AJ22" s="42" t="str">
        <f>IF(AND('Mapa final'!$Y$48="Alta",'Mapa final'!$AA$48="Catastrófico"),CONCATENATE("R7C",'Mapa final'!$O$48),"")</f>
        <v/>
      </c>
      <c r="AK22" s="42" t="str">
        <f>IF(AND('Mapa final'!$Y$49="Alta",'Mapa final'!$AA$49="Catastrófico"),CONCATENATE("R7C",'Mapa final'!$O$49),"")</f>
        <v/>
      </c>
      <c r="AL22" s="42" t="str">
        <f>IF(AND('Mapa final'!$Y$50="Alta",'Mapa final'!$AA$50="Catastrófico"),CONCATENATE("R7C",'Mapa final'!$O$50),"")</f>
        <v/>
      </c>
      <c r="AM22" s="43" t="str">
        <f>IF(AND('Mapa final'!$Y$51="Alta",'Mapa final'!$AA$51="Catastrófico"),CONCATENATE("R7C",'Mapa final'!$O$51),"")</f>
        <v/>
      </c>
      <c r="AN22" s="70"/>
      <c r="AO22" s="411"/>
      <c r="AP22" s="412"/>
      <c r="AQ22" s="412"/>
      <c r="AR22" s="412"/>
      <c r="AS22" s="412"/>
      <c r="AT22" s="413"/>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row>
    <row r="23" spans="1:76" ht="15" customHeight="1" x14ac:dyDescent="0.25">
      <c r="A23" s="70"/>
      <c r="B23" s="360"/>
      <c r="C23" s="360"/>
      <c r="D23" s="361"/>
      <c r="E23" s="401"/>
      <c r="F23" s="402"/>
      <c r="G23" s="402"/>
      <c r="H23" s="402"/>
      <c r="I23" s="418"/>
      <c r="J23" s="54" t="str">
        <f>IF(AND('Mapa final'!$Y$52="Alta",'Mapa final'!$AA$52="Leve"),CONCATENATE("R8C",'Mapa final'!$O$52),"")</f>
        <v/>
      </c>
      <c r="K23" s="55" t="str">
        <f>IF(AND('Mapa final'!$Y$53="Alta",'Mapa final'!$AA$53="Leve"),CONCATENATE("R8C",'Mapa final'!$O$53),"")</f>
        <v/>
      </c>
      <c r="L23" s="55" t="str">
        <f>IF(AND('Mapa final'!$Y$54="Alta",'Mapa final'!$AA$54="Leve"),CONCATENATE("R8C",'Mapa final'!$O$54),"")</f>
        <v/>
      </c>
      <c r="M23" s="55" t="str">
        <f>IF(AND('Mapa final'!$Y$55="Alta",'Mapa final'!$AA$55="Leve"),CONCATENATE("R8C",'Mapa final'!$O$55),"")</f>
        <v/>
      </c>
      <c r="N23" s="55" t="str">
        <f>IF(AND('Mapa final'!$Y$56="Alta",'Mapa final'!$AA$56="Leve"),CONCATENATE("R8C",'Mapa final'!$O$56),"")</f>
        <v/>
      </c>
      <c r="O23" s="56" t="str">
        <f>IF(AND('Mapa final'!$Y$57="Alta",'Mapa final'!$AA$57="Leve"),CONCATENATE("R8C",'Mapa final'!$O$57),"")</f>
        <v/>
      </c>
      <c r="P23" s="54" t="str">
        <f>IF(AND('Mapa final'!$Y$52="Alta",'Mapa final'!$AA$52="Menor"),CONCATENATE("R8C",'Mapa final'!$O$52),"")</f>
        <v/>
      </c>
      <c r="Q23" s="55" t="str">
        <f>IF(AND('Mapa final'!$Y$53="Alta",'Mapa final'!$AA$53="Menor"),CONCATENATE("R8C",'Mapa final'!$O$53),"")</f>
        <v/>
      </c>
      <c r="R23" s="55" t="str">
        <f>IF(AND('Mapa final'!$Y$54="Alta",'Mapa final'!$AA$54="Menor"),CONCATENATE("R8C",'Mapa final'!$O$54),"")</f>
        <v/>
      </c>
      <c r="S23" s="55" t="str">
        <f>IF(AND('Mapa final'!$Y$55="Alta",'Mapa final'!$AA$55="Menor"),CONCATENATE("R8C",'Mapa final'!$O$55),"")</f>
        <v/>
      </c>
      <c r="T23" s="55" t="str">
        <f>IF(AND('Mapa final'!$Y$56="Alta",'Mapa final'!$AA$56="Menor"),CONCATENATE("R8C",'Mapa final'!$O$56),"")</f>
        <v/>
      </c>
      <c r="U23" s="56" t="str">
        <f>IF(AND('Mapa final'!$Y$57="Alta",'Mapa final'!$AA$57="Menor"),CONCATENATE("R8C",'Mapa final'!$O$57),"")</f>
        <v/>
      </c>
      <c r="V23" s="38" t="str">
        <f>IF(AND('Mapa final'!$Y$52="Alta",'Mapa final'!$AA$52="Moderado"),CONCATENATE("R8C",'Mapa final'!$O$52),"")</f>
        <v/>
      </c>
      <c r="W23" s="39" t="str">
        <f>IF(AND('Mapa final'!$Y$53="Alta",'Mapa final'!$AA$53="Moderado"),CONCATENATE("R8C",'Mapa final'!$O$53),"")</f>
        <v/>
      </c>
      <c r="X23" s="44" t="str">
        <f>IF(AND('Mapa final'!$Y$54="Alta",'Mapa final'!$AA$54="Moderado"),CONCATENATE("R8C",'Mapa final'!$O$54),"")</f>
        <v/>
      </c>
      <c r="Y23" s="44" t="str">
        <f>IF(AND('Mapa final'!$Y$55="Alta",'Mapa final'!$AA$55="Moderado"),CONCATENATE("R8C",'Mapa final'!$O$55),"")</f>
        <v/>
      </c>
      <c r="Z23" s="44" t="str">
        <f>IF(AND('Mapa final'!$Y$56="Alta",'Mapa final'!$AA$56="Moderado"),CONCATENATE("R8C",'Mapa final'!$O$56),"")</f>
        <v/>
      </c>
      <c r="AA23" s="40" t="str">
        <f>IF(AND('Mapa final'!$Y$57="Alta",'Mapa final'!$AA$57="Moderado"),CONCATENATE("R8C",'Mapa final'!$O$57),"")</f>
        <v/>
      </c>
      <c r="AB23" s="38" t="str">
        <f>IF(AND('Mapa final'!$Y$52="Alta",'Mapa final'!$AA$52="Mayor"),CONCATENATE("R8C",'Mapa final'!$O$52),"")</f>
        <v/>
      </c>
      <c r="AC23" s="39" t="str">
        <f>IF(AND('Mapa final'!$Y$53="Alta",'Mapa final'!$AA$53="Mayor"),CONCATENATE("R8C",'Mapa final'!$O$53),"")</f>
        <v/>
      </c>
      <c r="AD23" s="44" t="str">
        <f>IF(AND('Mapa final'!$Y$54="Alta",'Mapa final'!$AA$54="Mayor"),CONCATENATE("R8C",'Mapa final'!$O$54),"")</f>
        <v/>
      </c>
      <c r="AE23" s="44" t="str">
        <f>IF(AND('Mapa final'!$Y$55="Alta",'Mapa final'!$AA$55="Mayor"),CONCATENATE("R8C",'Mapa final'!$O$55),"")</f>
        <v/>
      </c>
      <c r="AF23" s="44" t="str">
        <f>IF(AND('Mapa final'!$Y$56="Alta",'Mapa final'!$AA$56="Mayor"),CONCATENATE("R8C",'Mapa final'!$O$56),"")</f>
        <v/>
      </c>
      <c r="AG23" s="40" t="str">
        <f>IF(AND('Mapa final'!$Y$57="Alta",'Mapa final'!$AA$57="Mayor"),CONCATENATE("R8C",'Mapa final'!$O$57),"")</f>
        <v/>
      </c>
      <c r="AH23" s="41" t="str">
        <f>IF(AND('Mapa final'!$Y$52="Alta",'Mapa final'!$AA$52="Catastrófico"),CONCATENATE("R8C",'Mapa final'!$O$52),"")</f>
        <v/>
      </c>
      <c r="AI23" s="42" t="str">
        <f>IF(AND('Mapa final'!$Y$53="Alta",'Mapa final'!$AA$53="Catastrófico"),CONCATENATE("R8C",'Mapa final'!$O$53),"")</f>
        <v/>
      </c>
      <c r="AJ23" s="42" t="str">
        <f>IF(AND('Mapa final'!$Y$54="Alta",'Mapa final'!$AA$54="Catastrófico"),CONCATENATE("R8C",'Mapa final'!$O$54),"")</f>
        <v/>
      </c>
      <c r="AK23" s="42" t="str">
        <f>IF(AND('Mapa final'!$Y$55="Alta",'Mapa final'!$AA$55="Catastrófico"),CONCATENATE("R8C",'Mapa final'!$O$55),"")</f>
        <v/>
      </c>
      <c r="AL23" s="42" t="str">
        <f>IF(AND('Mapa final'!$Y$56="Alta",'Mapa final'!$AA$56="Catastrófico"),CONCATENATE("R8C",'Mapa final'!$O$56),"")</f>
        <v/>
      </c>
      <c r="AM23" s="43" t="str">
        <f>IF(AND('Mapa final'!$Y$57="Alta",'Mapa final'!$AA$57="Catastrófico"),CONCATENATE("R8C",'Mapa final'!$O$57),"")</f>
        <v/>
      </c>
      <c r="AN23" s="70"/>
      <c r="AO23" s="411"/>
      <c r="AP23" s="412"/>
      <c r="AQ23" s="412"/>
      <c r="AR23" s="412"/>
      <c r="AS23" s="412"/>
      <c r="AT23" s="413"/>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row>
    <row r="24" spans="1:76" ht="15" customHeight="1" x14ac:dyDescent="0.25">
      <c r="A24" s="70"/>
      <c r="B24" s="360"/>
      <c r="C24" s="360"/>
      <c r="D24" s="361"/>
      <c r="E24" s="401"/>
      <c r="F24" s="402"/>
      <c r="G24" s="402"/>
      <c r="H24" s="402"/>
      <c r="I24" s="418"/>
      <c r="J24" s="54" t="str">
        <f>IF(AND('Mapa final'!$Y$58="Alta",'Mapa final'!$AA$58="Leve"),CONCATENATE("R9C",'Mapa final'!$O$58),"")</f>
        <v/>
      </c>
      <c r="K24" s="55" t="str">
        <f>IF(AND('Mapa final'!$Y$59="Alta",'Mapa final'!$AA$59="Leve"),CONCATENATE("R9C",'Mapa final'!$O$59),"")</f>
        <v/>
      </c>
      <c r="L24" s="55" t="str">
        <f>IF(AND('Mapa final'!$Y$60="Alta",'Mapa final'!$AA$60="Leve"),CONCATENATE("R9C",'Mapa final'!$O$60),"")</f>
        <v/>
      </c>
      <c r="M24" s="55" t="str">
        <f>IF(AND('Mapa final'!$Y$61="Alta",'Mapa final'!$AA$61="Leve"),CONCATENATE("R9C",'Mapa final'!$O$61),"")</f>
        <v/>
      </c>
      <c r="N24" s="55" t="str">
        <f>IF(AND('Mapa final'!$Y$62="Alta",'Mapa final'!$AA$62="Leve"),CONCATENATE("R9C",'Mapa final'!$O$62),"")</f>
        <v/>
      </c>
      <c r="O24" s="56" t="str">
        <f>IF(AND('Mapa final'!$Y$63="Alta",'Mapa final'!$AA$63="Leve"),CONCATENATE("R9C",'Mapa final'!$O$63),"")</f>
        <v/>
      </c>
      <c r="P24" s="54" t="str">
        <f>IF(AND('Mapa final'!$Y$58="Alta",'Mapa final'!$AA$58="Menor"),CONCATENATE("R9C",'Mapa final'!$O$58),"")</f>
        <v/>
      </c>
      <c r="Q24" s="55" t="str">
        <f>IF(AND('Mapa final'!$Y$59="Alta",'Mapa final'!$AA$59="Menor"),CONCATENATE("R9C",'Mapa final'!$O$59),"")</f>
        <v/>
      </c>
      <c r="R24" s="55" t="str">
        <f>IF(AND('Mapa final'!$Y$60="Alta",'Mapa final'!$AA$60="Menor"),CONCATENATE("R9C",'Mapa final'!$O$60),"")</f>
        <v/>
      </c>
      <c r="S24" s="55" t="str">
        <f>IF(AND('Mapa final'!$Y$61="Alta",'Mapa final'!$AA$61="Menor"),CONCATENATE("R9C",'Mapa final'!$O$61),"")</f>
        <v/>
      </c>
      <c r="T24" s="55" t="str">
        <f>IF(AND('Mapa final'!$Y$62="Alta",'Mapa final'!$AA$62="Menor"),CONCATENATE("R9C",'Mapa final'!$O$62),"")</f>
        <v/>
      </c>
      <c r="U24" s="56" t="str">
        <f>IF(AND('Mapa final'!$Y$63="Alta",'Mapa final'!$AA$63="Menor"),CONCATENATE("R9C",'Mapa final'!$O$63),"")</f>
        <v/>
      </c>
      <c r="V24" s="38" t="str">
        <f>IF(AND('Mapa final'!$Y$58="Alta",'Mapa final'!$AA$58="Moderado"),CONCATENATE("R9C",'Mapa final'!$O$58),"")</f>
        <v/>
      </c>
      <c r="W24" s="39" t="str">
        <f>IF(AND('Mapa final'!$Y$59="Alta",'Mapa final'!$AA$59="Moderado"),CONCATENATE("R9C",'Mapa final'!$O$59),"")</f>
        <v/>
      </c>
      <c r="X24" s="44" t="str">
        <f>IF(AND('Mapa final'!$Y$60="Alta",'Mapa final'!$AA$60="Moderado"),CONCATENATE("R9C",'Mapa final'!$O$60),"")</f>
        <v/>
      </c>
      <c r="Y24" s="44" t="str">
        <f>IF(AND('Mapa final'!$Y$61="Alta",'Mapa final'!$AA$61="Moderado"),CONCATENATE("R9C",'Mapa final'!$O$61),"")</f>
        <v/>
      </c>
      <c r="Z24" s="44" t="str">
        <f>IF(AND('Mapa final'!$Y$62="Alta",'Mapa final'!$AA$62="Moderado"),CONCATENATE("R9C",'Mapa final'!$O$62),"")</f>
        <v/>
      </c>
      <c r="AA24" s="40" t="str">
        <f>IF(AND('Mapa final'!$Y$63="Alta",'Mapa final'!$AA$63="Moderado"),CONCATENATE("R9C",'Mapa final'!$O$63),"")</f>
        <v/>
      </c>
      <c r="AB24" s="38" t="str">
        <f>IF(AND('Mapa final'!$Y$58="Alta",'Mapa final'!$AA$58="Mayor"),CONCATENATE("R9C",'Mapa final'!$O$58),"")</f>
        <v/>
      </c>
      <c r="AC24" s="39" t="str">
        <f>IF(AND('Mapa final'!$Y$59="Alta",'Mapa final'!$AA$59="Mayor"),CONCATENATE("R9C",'Mapa final'!$O$59),"")</f>
        <v/>
      </c>
      <c r="AD24" s="44" t="str">
        <f>IF(AND('Mapa final'!$Y$60="Alta",'Mapa final'!$AA$60="Mayor"),CONCATENATE("R9C",'Mapa final'!$O$60),"")</f>
        <v/>
      </c>
      <c r="AE24" s="44" t="str">
        <f>IF(AND('Mapa final'!$Y$61="Alta",'Mapa final'!$AA$61="Mayor"),CONCATENATE("R9C",'Mapa final'!$O$61),"")</f>
        <v/>
      </c>
      <c r="AF24" s="44" t="str">
        <f>IF(AND('Mapa final'!$Y$62="Alta",'Mapa final'!$AA$62="Mayor"),CONCATENATE("R9C",'Mapa final'!$O$62),"")</f>
        <v/>
      </c>
      <c r="AG24" s="40" t="str">
        <f>IF(AND('Mapa final'!$Y$63="Alta",'Mapa final'!$AA$63="Mayor"),CONCATENATE("R9C",'Mapa final'!$O$63),"")</f>
        <v/>
      </c>
      <c r="AH24" s="41" t="str">
        <f>IF(AND('Mapa final'!$Y$58="Alta",'Mapa final'!$AA$58="Catastrófico"),CONCATENATE("R9C",'Mapa final'!$O$58),"")</f>
        <v/>
      </c>
      <c r="AI24" s="42" t="str">
        <f>IF(AND('Mapa final'!$Y$59="Alta",'Mapa final'!$AA$59="Catastrófico"),CONCATENATE("R9C",'Mapa final'!$O$59),"")</f>
        <v/>
      </c>
      <c r="AJ24" s="42" t="str">
        <f>IF(AND('Mapa final'!$Y$60="Alta",'Mapa final'!$AA$60="Catastrófico"),CONCATENATE("R9C",'Mapa final'!$O$60),"")</f>
        <v/>
      </c>
      <c r="AK24" s="42" t="str">
        <f>IF(AND('Mapa final'!$Y$61="Alta",'Mapa final'!$AA$61="Catastrófico"),CONCATENATE("R9C",'Mapa final'!$O$61),"")</f>
        <v/>
      </c>
      <c r="AL24" s="42" t="str">
        <f>IF(AND('Mapa final'!$Y$62="Alta",'Mapa final'!$AA$62="Catastrófico"),CONCATENATE("R9C",'Mapa final'!$O$62),"")</f>
        <v/>
      </c>
      <c r="AM24" s="43" t="str">
        <f>IF(AND('Mapa final'!$Y$63="Alta",'Mapa final'!$AA$63="Catastrófico"),CONCATENATE("R9C",'Mapa final'!$O$63),"")</f>
        <v/>
      </c>
      <c r="AN24" s="70"/>
      <c r="AO24" s="411"/>
      <c r="AP24" s="412"/>
      <c r="AQ24" s="412"/>
      <c r="AR24" s="412"/>
      <c r="AS24" s="412"/>
      <c r="AT24" s="413"/>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row>
    <row r="25" spans="1:76" ht="15.75" customHeight="1" thickBot="1" x14ac:dyDescent="0.3">
      <c r="A25" s="70"/>
      <c r="B25" s="360"/>
      <c r="C25" s="360"/>
      <c r="D25" s="361"/>
      <c r="E25" s="404"/>
      <c r="F25" s="405"/>
      <c r="G25" s="405"/>
      <c r="H25" s="405"/>
      <c r="I25" s="405"/>
      <c r="J25" s="57" t="str">
        <f>IF(AND('Mapa final'!$Y$64="Alta",'Mapa final'!$AA$64="Leve"),CONCATENATE("R10C",'Mapa final'!$O$64),"")</f>
        <v/>
      </c>
      <c r="K25" s="58" t="str">
        <f>IF(AND('Mapa final'!$Y$65="Alta",'Mapa final'!$AA$65="Leve"),CONCATENATE("R10C",'Mapa final'!$O$65),"")</f>
        <v/>
      </c>
      <c r="L25" s="58" t="str">
        <f>IF(AND('Mapa final'!$Y$66="Alta",'Mapa final'!$AA$66="Leve"),CONCATENATE("R10C",'Mapa final'!$O$66),"")</f>
        <v/>
      </c>
      <c r="M25" s="58" t="str">
        <f>IF(AND('Mapa final'!$Y$67="Alta",'Mapa final'!$AA$67="Leve"),CONCATENATE("R10C",'Mapa final'!$O$67),"")</f>
        <v/>
      </c>
      <c r="N25" s="58" t="str">
        <f>IF(AND('Mapa final'!$Y$68="Alta",'Mapa final'!$AA$68="Leve"),CONCATENATE("R10C",'Mapa final'!$O$68),"")</f>
        <v/>
      </c>
      <c r="O25" s="59" t="str">
        <f>IF(AND('Mapa final'!$Y$69="Alta",'Mapa final'!$AA$69="Leve"),CONCATENATE("R10C",'Mapa final'!$O$69),"")</f>
        <v/>
      </c>
      <c r="P25" s="57" t="str">
        <f>IF(AND('Mapa final'!$Y$64="Alta",'Mapa final'!$AA$64="Menor"),CONCATENATE("R10C",'Mapa final'!$O$64),"")</f>
        <v/>
      </c>
      <c r="Q25" s="58" t="str">
        <f>IF(AND('Mapa final'!$Y$65="Alta",'Mapa final'!$AA$65="Menor"),CONCATENATE("R10C",'Mapa final'!$O$65),"")</f>
        <v/>
      </c>
      <c r="R25" s="58" t="str">
        <f>IF(AND('Mapa final'!$Y$66="Alta",'Mapa final'!$AA$66="Menor"),CONCATENATE("R10C",'Mapa final'!$O$66),"")</f>
        <v/>
      </c>
      <c r="S25" s="58" t="str">
        <f>IF(AND('Mapa final'!$Y$67="Alta",'Mapa final'!$AA$67="Menor"),CONCATENATE("R10C",'Mapa final'!$O$67),"")</f>
        <v/>
      </c>
      <c r="T25" s="58" t="str">
        <f>IF(AND('Mapa final'!$Y$68="Alta",'Mapa final'!$AA$68="Menor"),CONCATENATE("R10C",'Mapa final'!$O$68),"")</f>
        <v/>
      </c>
      <c r="U25" s="59" t="str">
        <f>IF(AND('Mapa final'!$Y$69="Alta",'Mapa final'!$AA$69="Menor"),CONCATENATE("R10C",'Mapa final'!$O$69),"")</f>
        <v/>
      </c>
      <c r="V25" s="45" t="str">
        <f>IF(AND('Mapa final'!$Y$64="Alta",'Mapa final'!$AA$64="Moderado"),CONCATENATE("R10C",'Mapa final'!$O$64),"")</f>
        <v/>
      </c>
      <c r="W25" s="46" t="str">
        <f>IF(AND('Mapa final'!$Y$65="Alta",'Mapa final'!$AA$65="Moderado"),CONCATENATE("R10C",'Mapa final'!$O$65),"")</f>
        <v/>
      </c>
      <c r="X25" s="46" t="str">
        <f>IF(AND('Mapa final'!$Y$66="Alta",'Mapa final'!$AA$66="Moderado"),CONCATENATE("R10C",'Mapa final'!$O$66),"")</f>
        <v/>
      </c>
      <c r="Y25" s="46" t="str">
        <f>IF(AND('Mapa final'!$Y$67="Alta",'Mapa final'!$AA$67="Moderado"),CONCATENATE("R10C",'Mapa final'!$O$67),"")</f>
        <v/>
      </c>
      <c r="Z25" s="46" t="str">
        <f>IF(AND('Mapa final'!$Y$68="Alta",'Mapa final'!$AA$68="Moderado"),CONCATENATE("R10C",'Mapa final'!$O$68),"")</f>
        <v/>
      </c>
      <c r="AA25" s="47" t="str">
        <f>IF(AND('Mapa final'!$Y$69="Alta",'Mapa final'!$AA$69="Moderado"),CONCATENATE("R10C",'Mapa final'!$O$69),"")</f>
        <v/>
      </c>
      <c r="AB25" s="45" t="str">
        <f>IF(AND('Mapa final'!$Y$64="Alta",'Mapa final'!$AA$64="Mayor"),CONCATENATE("R10C",'Mapa final'!$O$64),"")</f>
        <v/>
      </c>
      <c r="AC25" s="46" t="str">
        <f>IF(AND('Mapa final'!$Y$65="Alta",'Mapa final'!$AA$65="Mayor"),CONCATENATE("R10C",'Mapa final'!$O$65),"")</f>
        <v/>
      </c>
      <c r="AD25" s="46" t="str">
        <f>IF(AND('Mapa final'!$Y$66="Alta",'Mapa final'!$AA$66="Mayor"),CONCATENATE("R10C",'Mapa final'!$O$66),"")</f>
        <v/>
      </c>
      <c r="AE25" s="46" t="str">
        <f>IF(AND('Mapa final'!$Y$67="Alta",'Mapa final'!$AA$67="Mayor"),CONCATENATE("R10C",'Mapa final'!$O$67),"")</f>
        <v/>
      </c>
      <c r="AF25" s="46" t="str">
        <f>IF(AND('Mapa final'!$Y$68="Alta",'Mapa final'!$AA$68="Mayor"),CONCATENATE("R10C",'Mapa final'!$O$68),"")</f>
        <v/>
      </c>
      <c r="AG25" s="47" t="str">
        <f>IF(AND('Mapa final'!$Y$69="Alta",'Mapa final'!$AA$69="Mayor"),CONCATENATE("R10C",'Mapa final'!$O$69),"")</f>
        <v/>
      </c>
      <c r="AH25" s="48" t="str">
        <f>IF(AND('Mapa final'!$Y$64="Alta",'Mapa final'!$AA$64="Catastrófico"),CONCATENATE("R10C",'Mapa final'!$O$64),"")</f>
        <v/>
      </c>
      <c r="AI25" s="49" t="str">
        <f>IF(AND('Mapa final'!$Y$65="Alta",'Mapa final'!$AA$65="Catastrófico"),CONCATENATE("R10C",'Mapa final'!$O$65),"")</f>
        <v/>
      </c>
      <c r="AJ25" s="49" t="str">
        <f>IF(AND('Mapa final'!$Y$66="Alta",'Mapa final'!$AA$66="Catastrófico"),CONCATENATE("R10C",'Mapa final'!$O$66),"")</f>
        <v/>
      </c>
      <c r="AK25" s="49" t="str">
        <f>IF(AND('Mapa final'!$Y$67="Alta",'Mapa final'!$AA$67="Catastrófico"),CONCATENATE("R10C",'Mapa final'!$O$67),"")</f>
        <v/>
      </c>
      <c r="AL25" s="49" t="str">
        <f>IF(AND('Mapa final'!$Y$68="Alta",'Mapa final'!$AA$68="Catastrófico"),CONCATENATE("R10C",'Mapa final'!$O$68),"")</f>
        <v/>
      </c>
      <c r="AM25" s="50" t="str">
        <f>IF(AND('Mapa final'!$Y$69="Alta",'Mapa final'!$AA$69="Catastrófico"),CONCATENATE("R10C",'Mapa final'!$O$69),"")</f>
        <v/>
      </c>
      <c r="AN25" s="70"/>
      <c r="AO25" s="414"/>
      <c r="AP25" s="415"/>
      <c r="AQ25" s="415"/>
      <c r="AR25" s="415"/>
      <c r="AS25" s="415"/>
      <c r="AT25" s="416"/>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row>
    <row r="26" spans="1:76" ht="15" customHeight="1" x14ac:dyDescent="0.25">
      <c r="A26" s="70"/>
      <c r="B26" s="360"/>
      <c r="C26" s="360"/>
      <c r="D26" s="361"/>
      <c r="E26" s="398" t="s">
        <v>117</v>
      </c>
      <c r="F26" s="399"/>
      <c r="G26" s="399"/>
      <c r="H26" s="399"/>
      <c r="I26" s="400"/>
      <c r="J26" s="51" t="str">
        <f>IF(AND('Mapa final'!$Y$10="Media",'Mapa final'!$AA$10="Leve"),CONCATENATE("R1C",'Mapa final'!$O$10),"")</f>
        <v/>
      </c>
      <c r="K26" s="52" t="str">
        <f>IF(AND('Mapa final'!$Y$11="Media",'Mapa final'!$AA$11="Leve"),CONCATENATE("R1C",'Mapa final'!$O$11),"")</f>
        <v/>
      </c>
      <c r="L26" s="52" t="str">
        <f>IF(AND('Mapa final'!$Y$12="Media",'Mapa final'!$AA$12="Leve"),CONCATENATE("R1C",'Mapa final'!$O$12),"")</f>
        <v/>
      </c>
      <c r="M26" s="52" t="str">
        <f>IF(AND('Mapa final'!$Y$13="Media",'Mapa final'!$AA$13="Leve"),CONCATENATE("R1C",'Mapa final'!$O$13),"")</f>
        <v/>
      </c>
      <c r="N26" s="52" t="str">
        <f>IF(AND('Mapa final'!$Y$14="Media",'Mapa final'!$AA$14="Leve"),CONCATENATE("R1C",'Mapa final'!$O$14),"")</f>
        <v/>
      </c>
      <c r="O26" s="53" t="str">
        <f>IF(AND('Mapa final'!$Y$15="Media",'Mapa final'!$AA$15="Leve"),CONCATENATE("R1C",'Mapa final'!$O$15),"")</f>
        <v/>
      </c>
      <c r="P26" s="51" t="str">
        <f>IF(AND('Mapa final'!$Y$10="Media",'Mapa final'!$AA$10="Menor"),CONCATENATE("R1C",'Mapa final'!$O$10),"")</f>
        <v/>
      </c>
      <c r="Q26" s="52" t="str">
        <f>IF(AND('Mapa final'!$Y$11="Media",'Mapa final'!$AA$11="Menor"),CONCATENATE("R1C",'Mapa final'!$O$11),"")</f>
        <v/>
      </c>
      <c r="R26" s="52" t="str">
        <f>IF(AND('Mapa final'!$Y$12="Media",'Mapa final'!$AA$12="Menor"),CONCATENATE("R1C",'Mapa final'!$O$12),"")</f>
        <v/>
      </c>
      <c r="S26" s="52" t="str">
        <f>IF(AND('Mapa final'!$Y$13="Media",'Mapa final'!$AA$13="Menor"),CONCATENATE("R1C",'Mapa final'!$O$13),"")</f>
        <v/>
      </c>
      <c r="T26" s="52" t="str">
        <f>IF(AND('Mapa final'!$Y$14="Media",'Mapa final'!$AA$14="Menor"),CONCATENATE("R1C",'Mapa final'!$O$14),"")</f>
        <v/>
      </c>
      <c r="U26" s="53" t="str">
        <f>IF(AND('Mapa final'!$Y$15="Media",'Mapa final'!$AA$15="Menor"),CONCATENATE("R1C",'Mapa final'!$O$15),"")</f>
        <v/>
      </c>
      <c r="V26" s="51" t="str">
        <f>IF(AND('Mapa final'!$Y$10="Media",'Mapa final'!$AA$10="Moderado"),CONCATENATE("R1C",'Mapa final'!$O$10),"")</f>
        <v/>
      </c>
      <c r="W26" s="52" t="str">
        <f>IF(AND('Mapa final'!$Y$11="Media",'Mapa final'!$AA$11="Moderado"),CONCATENATE("R1C",'Mapa final'!$O$11),"")</f>
        <v/>
      </c>
      <c r="X26" s="52" t="str">
        <f>IF(AND('Mapa final'!$Y$12="Media",'Mapa final'!$AA$12="Moderado"),CONCATENATE("R1C",'Mapa final'!$O$12),"")</f>
        <v/>
      </c>
      <c r="Y26" s="52" t="str">
        <f>IF(AND('Mapa final'!$Y$13="Media",'Mapa final'!$AA$13="Moderado"),CONCATENATE("R1C",'Mapa final'!$O$13),"")</f>
        <v/>
      </c>
      <c r="Z26" s="52" t="str">
        <f>IF(AND('Mapa final'!$Y$14="Media",'Mapa final'!$AA$14="Moderado"),CONCATENATE("R1C",'Mapa final'!$O$14),"")</f>
        <v/>
      </c>
      <c r="AA26" s="53" t="str">
        <f>IF(AND('Mapa final'!$Y$15="Media",'Mapa final'!$AA$15="Moderado"),CONCATENATE("R1C",'Mapa final'!$O$15),"")</f>
        <v/>
      </c>
      <c r="AB26" s="32" t="str">
        <f>IF(AND('Mapa final'!$Y$10="Media",'Mapa final'!$AA$10="Mayor"),CONCATENATE("R1C",'Mapa final'!$O$10),"")</f>
        <v/>
      </c>
      <c r="AC26" s="33" t="str">
        <f>IF(AND('Mapa final'!$Y$11="Media",'Mapa final'!$AA$11="Mayor"),CONCATENATE("R1C",'Mapa final'!$O$11),"")</f>
        <v/>
      </c>
      <c r="AD26" s="33" t="str">
        <f>IF(AND('Mapa final'!$Y$12="Media",'Mapa final'!$AA$12="Mayor"),CONCATENATE("R1C",'Mapa final'!$O$12),"")</f>
        <v/>
      </c>
      <c r="AE26" s="33" t="str">
        <f>IF(AND('Mapa final'!$Y$13="Media",'Mapa final'!$AA$13="Mayor"),CONCATENATE("R1C",'Mapa final'!$O$13),"")</f>
        <v/>
      </c>
      <c r="AF26" s="33" t="str">
        <f>IF(AND('Mapa final'!$Y$14="Media",'Mapa final'!$AA$14="Mayor"),CONCATENATE("R1C",'Mapa final'!$O$14),"")</f>
        <v/>
      </c>
      <c r="AG26" s="34" t="str">
        <f>IF(AND('Mapa final'!$Y$15="Media",'Mapa final'!$AA$15="Mayor"),CONCATENATE("R1C",'Mapa final'!$O$15),"")</f>
        <v/>
      </c>
      <c r="AH26" s="35" t="str">
        <f>IF(AND('Mapa final'!$Y$10="Media",'Mapa final'!$AA$10="Catastrófico"),CONCATENATE("R1C",'Mapa final'!$O$10),"")</f>
        <v/>
      </c>
      <c r="AI26" s="36" t="str">
        <f>IF(AND('Mapa final'!$Y$11="Media",'Mapa final'!$AA$11="Catastrófico"),CONCATENATE("R1C",'Mapa final'!$O$11),"")</f>
        <v/>
      </c>
      <c r="AJ26" s="36" t="str">
        <f>IF(AND('Mapa final'!$Y$12="Media",'Mapa final'!$AA$12="Catastrófico"),CONCATENATE("R1C",'Mapa final'!$O$12),"")</f>
        <v/>
      </c>
      <c r="AK26" s="36" t="str">
        <f>IF(AND('Mapa final'!$Y$13="Media",'Mapa final'!$AA$13="Catastrófico"),CONCATENATE("R1C",'Mapa final'!$O$13),"")</f>
        <v/>
      </c>
      <c r="AL26" s="36" t="str">
        <f>IF(AND('Mapa final'!$Y$14="Media",'Mapa final'!$AA$14="Catastrófico"),CONCATENATE("R1C",'Mapa final'!$O$14),"")</f>
        <v/>
      </c>
      <c r="AM26" s="37" t="str">
        <f>IF(AND('Mapa final'!$Y$15="Media",'Mapa final'!$AA$15="Catastrófico"),CONCATENATE("R1C",'Mapa final'!$O$15),"")</f>
        <v/>
      </c>
      <c r="AN26" s="70"/>
      <c r="AO26" s="439" t="s">
        <v>81</v>
      </c>
      <c r="AP26" s="440"/>
      <c r="AQ26" s="440"/>
      <c r="AR26" s="440"/>
      <c r="AS26" s="440"/>
      <c r="AT26" s="441"/>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row>
    <row r="27" spans="1:76" ht="15" customHeight="1" x14ac:dyDescent="0.25">
      <c r="A27" s="70"/>
      <c r="B27" s="360"/>
      <c r="C27" s="360"/>
      <c r="D27" s="361"/>
      <c r="E27" s="417"/>
      <c r="F27" s="418"/>
      <c r="G27" s="418"/>
      <c r="H27" s="418"/>
      <c r="I27" s="403"/>
      <c r="J27" s="54" t="str">
        <f>IF(AND('Mapa final'!$Y$16="Media",'Mapa final'!$AA$16="Leve"),CONCATENATE("R2C",'Mapa final'!$O$16),"")</f>
        <v/>
      </c>
      <c r="K27" s="55" t="str">
        <f>IF(AND('Mapa final'!$Y$17="Media",'Mapa final'!$AA$17="Leve"),CONCATENATE("R2C",'Mapa final'!$O$17),"")</f>
        <v/>
      </c>
      <c r="L27" s="55" t="str">
        <f>IF(AND('Mapa final'!$Y$18="Media",'Mapa final'!$AA$18="Leve"),CONCATENATE("R2C",'Mapa final'!$O$18),"")</f>
        <v/>
      </c>
      <c r="M27" s="55" t="str">
        <f>IF(AND('Mapa final'!$Y$19="Media",'Mapa final'!$AA$19="Leve"),CONCATENATE("R2C",'Mapa final'!$O$19),"")</f>
        <v/>
      </c>
      <c r="N27" s="55" t="str">
        <f>IF(AND('Mapa final'!$Y$20="Media",'Mapa final'!$AA$20="Leve"),CONCATENATE("R2C",'Mapa final'!$O$20),"")</f>
        <v/>
      </c>
      <c r="O27" s="56" t="str">
        <f>IF(AND('Mapa final'!$Y$21="Media",'Mapa final'!$AA$21="Leve"),CONCATENATE("R2C",'Mapa final'!$O$21),"")</f>
        <v/>
      </c>
      <c r="P27" s="54" t="str">
        <f>IF(AND('Mapa final'!$Y$16="Media",'Mapa final'!$AA$16="Menor"),CONCATENATE("R2C",'Mapa final'!$O$16),"")</f>
        <v/>
      </c>
      <c r="Q27" s="55" t="str">
        <f>IF(AND('Mapa final'!$Y$17="Media",'Mapa final'!$AA$17="Menor"),CONCATENATE("R2C",'Mapa final'!$O$17),"")</f>
        <v/>
      </c>
      <c r="R27" s="55" t="str">
        <f>IF(AND('Mapa final'!$Y$18="Media",'Mapa final'!$AA$18="Menor"),CONCATENATE("R2C",'Mapa final'!$O$18),"")</f>
        <v/>
      </c>
      <c r="S27" s="55" t="str">
        <f>IF(AND('Mapa final'!$Y$19="Media",'Mapa final'!$AA$19="Menor"),CONCATENATE("R2C",'Mapa final'!$O$19),"")</f>
        <v/>
      </c>
      <c r="T27" s="55" t="str">
        <f>IF(AND('Mapa final'!$Y$20="Media",'Mapa final'!$AA$20="Menor"),CONCATENATE("R2C",'Mapa final'!$O$20),"")</f>
        <v/>
      </c>
      <c r="U27" s="56" t="str">
        <f>IF(AND('Mapa final'!$Y$21="Media",'Mapa final'!$AA$21="Menor"),CONCATENATE("R2C",'Mapa final'!$O$21),"")</f>
        <v/>
      </c>
      <c r="V27" s="54" t="str">
        <f>IF(AND('Mapa final'!$Y$16="Media",'Mapa final'!$AA$16="Moderado"),CONCATENATE("R2C",'Mapa final'!$O$16),"")</f>
        <v/>
      </c>
      <c r="W27" s="55" t="str">
        <f>IF(AND('Mapa final'!$Y$17="Media",'Mapa final'!$AA$17="Moderado"),CONCATENATE("R2C",'Mapa final'!$O$17),"")</f>
        <v/>
      </c>
      <c r="X27" s="55" t="str">
        <f>IF(AND('Mapa final'!$Y$18="Media",'Mapa final'!$AA$18="Moderado"),CONCATENATE("R2C",'Mapa final'!$O$18),"")</f>
        <v/>
      </c>
      <c r="Y27" s="55" t="str">
        <f>IF(AND('Mapa final'!$Y$19="Media",'Mapa final'!$AA$19="Moderado"),CONCATENATE("R2C",'Mapa final'!$O$19),"")</f>
        <v/>
      </c>
      <c r="Z27" s="55" t="str">
        <f>IF(AND('Mapa final'!$Y$20="Media",'Mapa final'!$AA$20="Moderado"),CONCATENATE("R2C",'Mapa final'!$O$20),"")</f>
        <v/>
      </c>
      <c r="AA27" s="56" t="str">
        <f>IF(AND('Mapa final'!$Y$21="Media",'Mapa final'!$AA$21="Moderado"),CONCATENATE("R2C",'Mapa final'!$O$21),"")</f>
        <v/>
      </c>
      <c r="AB27" s="38" t="str">
        <f>IF(AND('Mapa final'!$Y$16="Media",'Mapa final'!$AA$16="Mayor"),CONCATENATE("R2C",'Mapa final'!$O$16),"")</f>
        <v/>
      </c>
      <c r="AC27" s="39" t="str">
        <f>IF(AND('Mapa final'!$Y$17="Media",'Mapa final'!$AA$17="Mayor"),CONCATENATE("R2C",'Mapa final'!$O$17),"")</f>
        <v/>
      </c>
      <c r="AD27" s="39" t="str">
        <f>IF(AND('Mapa final'!$Y$18="Media",'Mapa final'!$AA$18="Mayor"),CONCATENATE("R2C",'Mapa final'!$O$18),"")</f>
        <v/>
      </c>
      <c r="AE27" s="39" t="str">
        <f>IF(AND('Mapa final'!$Y$19="Media",'Mapa final'!$AA$19="Mayor"),CONCATENATE("R2C",'Mapa final'!$O$19),"")</f>
        <v/>
      </c>
      <c r="AF27" s="39" t="str">
        <f>IF(AND('Mapa final'!$Y$20="Media",'Mapa final'!$AA$20="Mayor"),CONCATENATE("R2C",'Mapa final'!$O$20),"")</f>
        <v/>
      </c>
      <c r="AG27" s="40" t="str">
        <f>IF(AND('Mapa final'!$Y$21="Media",'Mapa final'!$AA$21="Mayor"),CONCATENATE("R2C",'Mapa final'!$O$21),"")</f>
        <v/>
      </c>
      <c r="AH27" s="41" t="str">
        <f>IF(AND('Mapa final'!$Y$16="Media",'Mapa final'!$AA$16="Catastrófico"),CONCATENATE("R2C",'Mapa final'!$O$16),"")</f>
        <v/>
      </c>
      <c r="AI27" s="42" t="str">
        <f>IF(AND('Mapa final'!$Y$17="Media",'Mapa final'!$AA$17="Catastrófico"),CONCATENATE("R2C",'Mapa final'!$O$17),"")</f>
        <v/>
      </c>
      <c r="AJ27" s="42" t="str">
        <f>IF(AND('Mapa final'!$Y$18="Media",'Mapa final'!$AA$18="Catastrófico"),CONCATENATE("R2C",'Mapa final'!$O$18),"")</f>
        <v/>
      </c>
      <c r="AK27" s="42" t="str">
        <f>IF(AND('Mapa final'!$Y$19="Media",'Mapa final'!$AA$19="Catastrófico"),CONCATENATE("R2C",'Mapa final'!$O$19),"")</f>
        <v/>
      </c>
      <c r="AL27" s="42" t="str">
        <f>IF(AND('Mapa final'!$Y$20="Media",'Mapa final'!$AA$20="Catastrófico"),CONCATENATE("R2C",'Mapa final'!$O$20),"")</f>
        <v/>
      </c>
      <c r="AM27" s="43" t="str">
        <f>IF(AND('Mapa final'!$Y$21="Media",'Mapa final'!$AA$21="Catastrófico"),CONCATENATE("R2C",'Mapa final'!$O$21),"")</f>
        <v/>
      </c>
      <c r="AN27" s="70"/>
      <c r="AO27" s="442"/>
      <c r="AP27" s="443"/>
      <c r="AQ27" s="443"/>
      <c r="AR27" s="443"/>
      <c r="AS27" s="443"/>
      <c r="AT27" s="444"/>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row>
    <row r="28" spans="1:76" ht="15" customHeight="1" x14ac:dyDescent="0.25">
      <c r="A28" s="70"/>
      <c r="B28" s="360"/>
      <c r="C28" s="360"/>
      <c r="D28" s="361"/>
      <c r="E28" s="401"/>
      <c r="F28" s="402"/>
      <c r="G28" s="402"/>
      <c r="H28" s="402"/>
      <c r="I28" s="403"/>
      <c r="J28" s="54" t="str">
        <f>IF(AND('Mapa final'!$Y$22="Media",'Mapa final'!$AA$22="Leve"),CONCATENATE("R3C",'Mapa final'!$O$22),"")</f>
        <v/>
      </c>
      <c r="K28" s="55" t="str">
        <f>IF(AND('Mapa final'!$Y$23="Media",'Mapa final'!$AA$23="Leve"),CONCATENATE("R3C",'Mapa final'!$O$23),"")</f>
        <v/>
      </c>
      <c r="L28" s="55" t="str">
        <f>IF(AND('Mapa final'!$Y$24="Media",'Mapa final'!$AA$24="Leve"),CONCATENATE("R3C",'Mapa final'!$O$24),"")</f>
        <v/>
      </c>
      <c r="M28" s="55" t="str">
        <f>IF(AND('Mapa final'!$Y$25="Media",'Mapa final'!$AA$25="Leve"),CONCATENATE("R3C",'Mapa final'!$O$25),"")</f>
        <v/>
      </c>
      <c r="N28" s="55" t="str">
        <f>IF(AND('Mapa final'!$Y$26="Media",'Mapa final'!$AA$26="Leve"),CONCATENATE("R3C",'Mapa final'!$O$26),"")</f>
        <v/>
      </c>
      <c r="O28" s="56" t="str">
        <f>IF(AND('Mapa final'!$Y$27="Media",'Mapa final'!$AA$27="Leve"),CONCATENATE("R3C",'Mapa final'!$O$27),"")</f>
        <v/>
      </c>
      <c r="P28" s="54" t="str">
        <f>IF(AND('Mapa final'!$Y$22="Media",'Mapa final'!$AA$22="Menor"),CONCATENATE("R3C",'Mapa final'!$O$22),"")</f>
        <v/>
      </c>
      <c r="Q28" s="55" t="str">
        <f>IF(AND('Mapa final'!$Y$23="Media",'Mapa final'!$AA$23="Menor"),CONCATENATE("R3C",'Mapa final'!$O$23),"")</f>
        <v/>
      </c>
      <c r="R28" s="55" t="str">
        <f>IF(AND('Mapa final'!$Y$24="Media",'Mapa final'!$AA$24="Menor"),CONCATENATE("R3C",'Mapa final'!$O$24),"")</f>
        <v/>
      </c>
      <c r="S28" s="55" t="str">
        <f>IF(AND('Mapa final'!$Y$25="Media",'Mapa final'!$AA$25="Menor"),CONCATENATE("R3C",'Mapa final'!$O$25),"")</f>
        <v/>
      </c>
      <c r="T28" s="55" t="str">
        <f>IF(AND('Mapa final'!$Y$26="Media",'Mapa final'!$AA$26="Menor"),CONCATENATE("R3C",'Mapa final'!$O$26),"")</f>
        <v/>
      </c>
      <c r="U28" s="56" t="str">
        <f>IF(AND('Mapa final'!$Y$27="Media",'Mapa final'!$AA$27="Menor"),CONCATENATE("R3C",'Mapa final'!$O$27),"")</f>
        <v/>
      </c>
      <c r="V28" s="54" t="str">
        <f>IF(AND('Mapa final'!$Y$22="Media",'Mapa final'!$AA$22="Moderado"),CONCATENATE("R3C",'Mapa final'!$O$22),"")</f>
        <v/>
      </c>
      <c r="W28" s="55" t="str">
        <f>IF(AND('Mapa final'!$Y$23="Media",'Mapa final'!$AA$23="Moderado"),CONCATENATE("R3C",'Mapa final'!$O$23),"")</f>
        <v/>
      </c>
      <c r="X28" s="55" t="str">
        <f>IF(AND('Mapa final'!$Y$24="Media",'Mapa final'!$AA$24="Moderado"),CONCATENATE("R3C",'Mapa final'!$O$24),"")</f>
        <v/>
      </c>
      <c r="Y28" s="55" t="str">
        <f>IF(AND('Mapa final'!$Y$25="Media",'Mapa final'!$AA$25="Moderado"),CONCATENATE("R3C",'Mapa final'!$O$25),"")</f>
        <v/>
      </c>
      <c r="Z28" s="55" t="str">
        <f>IF(AND('Mapa final'!$Y$26="Media",'Mapa final'!$AA$26="Moderado"),CONCATENATE("R3C",'Mapa final'!$O$26),"")</f>
        <v/>
      </c>
      <c r="AA28" s="56" t="str">
        <f>IF(AND('Mapa final'!$Y$27="Media",'Mapa final'!$AA$27="Moderado"),CONCATENATE("R3C",'Mapa final'!$O$27),"")</f>
        <v/>
      </c>
      <c r="AB28" s="38" t="str">
        <f>IF(AND('Mapa final'!$Y$22="Media",'Mapa final'!$AA$22="Mayor"),CONCATENATE("R3C",'Mapa final'!$O$22),"")</f>
        <v/>
      </c>
      <c r="AC28" s="39" t="str">
        <f>IF(AND('Mapa final'!$Y$23="Media",'Mapa final'!$AA$23="Mayor"),CONCATENATE("R3C",'Mapa final'!$O$23),"")</f>
        <v/>
      </c>
      <c r="AD28" s="39" t="str">
        <f>IF(AND('Mapa final'!$Y$24="Media",'Mapa final'!$AA$24="Mayor"),CONCATENATE("R3C",'Mapa final'!$O$24),"")</f>
        <v/>
      </c>
      <c r="AE28" s="39" t="str">
        <f>IF(AND('Mapa final'!$Y$25="Media",'Mapa final'!$AA$25="Mayor"),CONCATENATE("R3C",'Mapa final'!$O$25),"")</f>
        <v/>
      </c>
      <c r="AF28" s="39" t="str">
        <f>IF(AND('Mapa final'!$Y$26="Media",'Mapa final'!$AA$26="Mayor"),CONCATENATE("R3C",'Mapa final'!$O$26),"")</f>
        <v/>
      </c>
      <c r="AG28" s="40" t="str">
        <f>IF(AND('Mapa final'!$Y$27="Media",'Mapa final'!$AA$27="Mayor"),CONCATENATE("R3C",'Mapa final'!$O$27),"")</f>
        <v/>
      </c>
      <c r="AH28" s="41" t="str">
        <f>IF(AND('Mapa final'!$Y$22="Media",'Mapa final'!$AA$22="Catastrófico"),CONCATENATE("R3C",'Mapa final'!$O$22),"")</f>
        <v/>
      </c>
      <c r="AI28" s="42" t="str">
        <f>IF(AND('Mapa final'!$Y$23="Media",'Mapa final'!$AA$23="Catastrófico"),CONCATENATE("R3C",'Mapa final'!$O$23),"")</f>
        <v/>
      </c>
      <c r="AJ28" s="42" t="str">
        <f>IF(AND('Mapa final'!$Y$24="Media",'Mapa final'!$AA$24="Catastrófico"),CONCATENATE("R3C",'Mapa final'!$O$24),"")</f>
        <v/>
      </c>
      <c r="AK28" s="42" t="str">
        <f>IF(AND('Mapa final'!$Y$25="Media",'Mapa final'!$AA$25="Catastrófico"),CONCATENATE("R3C",'Mapa final'!$O$25),"")</f>
        <v/>
      </c>
      <c r="AL28" s="42" t="str">
        <f>IF(AND('Mapa final'!$Y$26="Media",'Mapa final'!$AA$26="Catastrófico"),CONCATENATE("R3C",'Mapa final'!$O$26),"")</f>
        <v/>
      </c>
      <c r="AM28" s="43" t="str">
        <f>IF(AND('Mapa final'!$Y$27="Media",'Mapa final'!$AA$27="Catastrófico"),CONCATENATE("R3C",'Mapa final'!$O$27),"")</f>
        <v/>
      </c>
      <c r="AN28" s="70"/>
      <c r="AO28" s="442"/>
      <c r="AP28" s="443"/>
      <c r="AQ28" s="443"/>
      <c r="AR28" s="443"/>
      <c r="AS28" s="443"/>
      <c r="AT28" s="444"/>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row>
    <row r="29" spans="1:76" ht="15" customHeight="1" x14ac:dyDescent="0.25">
      <c r="A29" s="70"/>
      <c r="B29" s="360"/>
      <c r="C29" s="360"/>
      <c r="D29" s="361"/>
      <c r="E29" s="401"/>
      <c r="F29" s="402"/>
      <c r="G29" s="402"/>
      <c r="H29" s="402"/>
      <c r="I29" s="403"/>
      <c r="J29" s="54" t="str">
        <f>IF(AND('Mapa final'!$Y$28="Media",'Mapa final'!$AA$28="Leve"),CONCATENATE("R4C",'Mapa final'!$O$28),"")</f>
        <v/>
      </c>
      <c r="K29" s="55" t="str">
        <f>IF(AND('Mapa final'!$Y$29="Media",'Mapa final'!$AA$29="Leve"),CONCATENATE("R4C",'Mapa final'!$O$29),"")</f>
        <v/>
      </c>
      <c r="L29" s="55" t="str">
        <f>IF(AND('Mapa final'!$Y$30="Media",'Mapa final'!$AA$30="Leve"),CONCATENATE("R4C",'Mapa final'!$O$30),"")</f>
        <v/>
      </c>
      <c r="M29" s="55" t="str">
        <f>IF(AND('Mapa final'!$Y$31="Media",'Mapa final'!$AA$31="Leve"),CONCATENATE("R4C",'Mapa final'!$O$31),"")</f>
        <v/>
      </c>
      <c r="N29" s="55" t="str">
        <f>IF(AND('Mapa final'!$Y$32="Media",'Mapa final'!$AA$32="Leve"),CONCATENATE("R4C",'Mapa final'!$O$32),"")</f>
        <v/>
      </c>
      <c r="O29" s="56" t="str">
        <f>IF(AND('Mapa final'!$Y$33="Media",'Mapa final'!$AA$33="Leve"),CONCATENATE("R4C",'Mapa final'!$O$33),"")</f>
        <v/>
      </c>
      <c r="P29" s="54" t="str">
        <f>IF(AND('Mapa final'!$Y$28="Media",'Mapa final'!$AA$28="Menor"),CONCATENATE("R4C",'Mapa final'!$O$28),"")</f>
        <v/>
      </c>
      <c r="Q29" s="55" t="str">
        <f>IF(AND('Mapa final'!$Y$29="Media",'Mapa final'!$AA$29="Menor"),CONCATENATE("R4C",'Mapa final'!$O$29),"")</f>
        <v/>
      </c>
      <c r="R29" s="55" t="str">
        <f>IF(AND('Mapa final'!$Y$30="Media",'Mapa final'!$AA$30="Menor"),CONCATENATE("R4C",'Mapa final'!$O$30),"")</f>
        <v/>
      </c>
      <c r="S29" s="55" t="str">
        <f>IF(AND('Mapa final'!$Y$31="Media",'Mapa final'!$AA$31="Menor"),CONCATENATE("R4C",'Mapa final'!$O$31),"")</f>
        <v/>
      </c>
      <c r="T29" s="55" t="str">
        <f>IF(AND('Mapa final'!$Y$32="Media",'Mapa final'!$AA$32="Menor"),CONCATENATE("R4C",'Mapa final'!$O$32),"")</f>
        <v/>
      </c>
      <c r="U29" s="56" t="str">
        <f>IF(AND('Mapa final'!$Y$33="Media",'Mapa final'!$AA$33="Menor"),CONCATENATE("R4C",'Mapa final'!$O$33),"")</f>
        <v/>
      </c>
      <c r="V29" s="54" t="str">
        <f>IF(AND('Mapa final'!$Y$28="Media",'Mapa final'!$AA$28="Moderado"),CONCATENATE("R4C",'Mapa final'!$O$28),"")</f>
        <v/>
      </c>
      <c r="W29" s="55" t="str">
        <f>IF(AND('Mapa final'!$Y$29="Media",'Mapa final'!$AA$29="Moderado"),CONCATENATE("R4C",'Mapa final'!$O$29),"")</f>
        <v/>
      </c>
      <c r="X29" s="55" t="str">
        <f>IF(AND('Mapa final'!$Y$30="Media",'Mapa final'!$AA$30="Moderado"),CONCATENATE("R4C",'Mapa final'!$O$30),"")</f>
        <v/>
      </c>
      <c r="Y29" s="55" t="str">
        <f>IF(AND('Mapa final'!$Y$31="Media",'Mapa final'!$AA$31="Moderado"),CONCATENATE("R4C",'Mapa final'!$O$31),"")</f>
        <v/>
      </c>
      <c r="Z29" s="55" t="str">
        <f>IF(AND('Mapa final'!$Y$32="Media",'Mapa final'!$AA$32="Moderado"),CONCATENATE("R4C",'Mapa final'!$O$32),"")</f>
        <v/>
      </c>
      <c r="AA29" s="56" t="str">
        <f>IF(AND('Mapa final'!$Y$33="Media",'Mapa final'!$AA$33="Moderado"),CONCATENATE("R4C",'Mapa final'!$O$33),"")</f>
        <v/>
      </c>
      <c r="AB29" s="38" t="str">
        <f>IF(AND('Mapa final'!$Y$28="Media",'Mapa final'!$AA$28="Mayor"),CONCATENATE("R4C",'Mapa final'!$O$28),"")</f>
        <v/>
      </c>
      <c r="AC29" s="39" t="str">
        <f>IF(AND('Mapa final'!$Y$29="Media",'Mapa final'!$AA$29="Mayor"),CONCATENATE("R4C",'Mapa final'!$O$29),"")</f>
        <v/>
      </c>
      <c r="AD29" s="44" t="str">
        <f>IF(AND('Mapa final'!$Y$30="Media",'Mapa final'!$AA$30="Mayor"),CONCATENATE("R4C",'Mapa final'!$O$30),"")</f>
        <v/>
      </c>
      <c r="AE29" s="44" t="str">
        <f>IF(AND('Mapa final'!$Y$31="Media",'Mapa final'!$AA$31="Mayor"),CONCATENATE("R4C",'Mapa final'!$O$31),"")</f>
        <v/>
      </c>
      <c r="AF29" s="44" t="str">
        <f>IF(AND('Mapa final'!$Y$32="Media",'Mapa final'!$AA$32="Mayor"),CONCATENATE("R4C",'Mapa final'!$O$32),"")</f>
        <v/>
      </c>
      <c r="AG29" s="40" t="str">
        <f>IF(AND('Mapa final'!$Y$33="Media",'Mapa final'!$AA$33="Mayor"),CONCATENATE("R4C",'Mapa final'!$O$33),"")</f>
        <v/>
      </c>
      <c r="AH29" s="41" t="str">
        <f>IF(AND('Mapa final'!$Y$28="Media",'Mapa final'!$AA$28="Catastrófico"),CONCATENATE("R4C",'Mapa final'!$O$28),"")</f>
        <v/>
      </c>
      <c r="AI29" s="42" t="str">
        <f>IF(AND('Mapa final'!$Y$29="Media",'Mapa final'!$AA$29="Catastrófico"),CONCATENATE("R4C",'Mapa final'!$O$29),"")</f>
        <v/>
      </c>
      <c r="AJ29" s="42" t="str">
        <f>IF(AND('Mapa final'!$Y$30="Media",'Mapa final'!$AA$30="Catastrófico"),CONCATENATE("R4C",'Mapa final'!$O$30),"")</f>
        <v/>
      </c>
      <c r="AK29" s="42" t="str">
        <f>IF(AND('Mapa final'!$Y$31="Media",'Mapa final'!$AA$31="Catastrófico"),CONCATENATE("R4C",'Mapa final'!$O$31),"")</f>
        <v/>
      </c>
      <c r="AL29" s="42" t="str">
        <f>IF(AND('Mapa final'!$Y$32="Media",'Mapa final'!$AA$32="Catastrófico"),CONCATENATE("R4C",'Mapa final'!$O$32),"")</f>
        <v/>
      </c>
      <c r="AM29" s="43" t="str">
        <f>IF(AND('Mapa final'!$Y$33="Media",'Mapa final'!$AA$33="Catastrófico"),CONCATENATE("R4C",'Mapa final'!$O$33),"")</f>
        <v/>
      </c>
      <c r="AN29" s="70"/>
      <c r="AO29" s="442"/>
      <c r="AP29" s="443"/>
      <c r="AQ29" s="443"/>
      <c r="AR29" s="443"/>
      <c r="AS29" s="443"/>
      <c r="AT29" s="444"/>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row>
    <row r="30" spans="1:76" ht="15" customHeight="1" x14ac:dyDescent="0.25">
      <c r="A30" s="70"/>
      <c r="B30" s="360"/>
      <c r="C30" s="360"/>
      <c r="D30" s="361"/>
      <c r="E30" s="401"/>
      <c r="F30" s="402"/>
      <c r="G30" s="402"/>
      <c r="H30" s="402"/>
      <c r="I30" s="403"/>
      <c r="J30" s="54" t="str">
        <f>IF(AND('Mapa final'!$Y$34="Media",'Mapa final'!$AA$34="Leve"),CONCATENATE("R5C",'Mapa final'!$O$34),"")</f>
        <v/>
      </c>
      <c r="K30" s="55" t="str">
        <f>IF(AND('Mapa final'!$Y$35="Media",'Mapa final'!$AA$35="Leve"),CONCATENATE("R5C",'Mapa final'!$O$35),"")</f>
        <v/>
      </c>
      <c r="L30" s="55" t="str">
        <f>IF(AND('Mapa final'!$Y$36="Media",'Mapa final'!$AA$36="Leve"),CONCATENATE("R5C",'Mapa final'!$O$36),"")</f>
        <v/>
      </c>
      <c r="M30" s="55" t="str">
        <f>IF(AND('Mapa final'!$Y$37="Media",'Mapa final'!$AA$37="Leve"),CONCATENATE("R5C",'Mapa final'!$O$37),"")</f>
        <v/>
      </c>
      <c r="N30" s="55" t="str">
        <f>IF(AND('Mapa final'!$Y$38="Media",'Mapa final'!$AA$38="Leve"),CONCATENATE("R5C",'Mapa final'!$O$38),"")</f>
        <v/>
      </c>
      <c r="O30" s="56" t="str">
        <f>IF(AND('Mapa final'!$Y$39="Media",'Mapa final'!$AA$39="Leve"),CONCATENATE("R5C",'Mapa final'!$O$39),"")</f>
        <v/>
      </c>
      <c r="P30" s="54" t="str">
        <f>IF(AND('Mapa final'!$Y$34="Media",'Mapa final'!$AA$34="Menor"),CONCATENATE("R5C",'Mapa final'!$O$34),"")</f>
        <v/>
      </c>
      <c r="Q30" s="55" t="str">
        <f>IF(AND('Mapa final'!$Y$35="Media",'Mapa final'!$AA$35="Menor"),CONCATENATE("R5C",'Mapa final'!$O$35),"")</f>
        <v/>
      </c>
      <c r="R30" s="55" t="str">
        <f>IF(AND('Mapa final'!$Y$36="Media",'Mapa final'!$AA$36="Menor"),CONCATENATE("R5C",'Mapa final'!$O$36),"")</f>
        <v/>
      </c>
      <c r="S30" s="55" t="str">
        <f>IF(AND('Mapa final'!$Y$37="Media",'Mapa final'!$AA$37="Menor"),CONCATENATE("R5C",'Mapa final'!$O$37),"")</f>
        <v/>
      </c>
      <c r="T30" s="55" t="str">
        <f>IF(AND('Mapa final'!$Y$38="Media",'Mapa final'!$AA$38="Menor"),CONCATENATE("R5C",'Mapa final'!$O$38),"")</f>
        <v/>
      </c>
      <c r="U30" s="56" t="str">
        <f>IF(AND('Mapa final'!$Y$39="Media",'Mapa final'!$AA$39="Menor"),CONCATENATE("R5C",'Mapa final'!$O$39),"")</f>
        <v/>
      </c>
      <c r="V30" s="54" t="str">
        <f>IF(AND('Mapa final'!$Y$34="Media",'Mapa final'!$AA$34="Moderado"),CONCATENATE("R5C",'Mapa final'!$O$34),"")</f>
        <v/>
      </c>
      <c r="W30" s="55" t="str">
        <f>IF(AND('Mapa final'!$Y$35="Media",'Mapa final'!$AA$35="Moderado"),CONCATENATE("R5C",'Mapa final'!$O$35),"")</f>
        <v/>
      </c>
      <c r="X30" s="55" t="str">
        <f>IF(AND('Mapa final'!$Y$36="Media",'Mapa final'!$AA$36="Moderado"),CONCATENATE("R5C",'Mapa final'!$O$36),"")</f>
        <v/>
      </c>
      <c r="Y30" s="55" t="str">
        <f>IF(AND('Mapa final'!$Y$37="Media",'Mapa final'!$AA$37="Moderado"),CONCATENATE("R5C",'Mapa final'!$O$37),"")</f>
        <v/>
      </c>
      <c r="Z30" s="55" t="str">
        <f>IF(AND('Mapa final'!$Y$38="Media",'Mapa final'!$AA$38="Moderado"),CONCATENATE("R5C",'Mapa final'!$O$38),"")</f>
        <v/>
      </c>
      <c r="AA30" s="56" t="str">
        <f>IF(AND('Mapa final'!$Y$39="Media",'Mapa final'!$AA$39="Moderado"),CONCATENATE("R5C",'Mapa final'!$O$39),"")</f>
        <v/>
      </c>
      <c r="AB30" s="38" t="str">
        <f>IF(AND('Mapa final'!$Y$34="Media",'Mapa final'!$AA$34="Mayor"),CONCATENATE("R5C",'Mapa final'!$O$34),"")</f>
        <v/>
      </c>
      <c r="AC30" s="39" t="str">
        <f>IF(AND('Mapa final'!$Y$35="Media",'Mapa final'!$AA$35="Mayor"),CONCATENATE("R5C",'Mapa final'!$O$35),"")</f>
        <v/>
      </c>
      <c r="AD30" s="44" t="str">
        <f>IF(AND('Mapa final'!$Y$36="Media",'Mapa final'!$AA$36="Mayor"),CONCATENATE("R5C",'Mapa final'!$O$36),"")</f>
        <v/>
      </c>
      <c r="AE30" s="44" t="str">
        <f>IF(AND('Mapa final'!$Y$37="Media",'Mapa final'!$AA$37="Mayor"),CONCATENATE("R5C",'Mapa final'!$O$37),"")</f>
        <v/>
      </c>
      <c r="AF30" s="44" t="str">
        <f>IF(AND('Mapa final'!$Y$38="Media",'Mapa final'!$AA$38="Mayor"),CONCATENATE("R5C",'Mapa final'!$O$38),"")</f>
        <v/>
      </c>
      <c r="AG30" s="40" t="str">
        <f>IF(AND('Mapa final'!$Y$39="Media",'Mapa final'!$AA$39="Mayor"),CONCATENATE("R5C",'Mapa final'!$O$39),"")</f>
        <v/>
      </c>
      <c r="AH30" s="41" t="str">
        <f>IF(AND('Mapa final'!$Y$34="Media",'Mapa final'!$AA$34="Catastrófico"),CONCATENATE("R5C",'Mapa final'!$O$34),"")</f>
        <v/>
      </c>
      <c r="AI30" s="42" t="str">
        <f>IF(AND('Mapa final'!$Y$35="Media",'Mapa final'!$AA$35="Catastrófico"),CONCATENATE("R5C",'Mapa final'!$O$35),"")</f>
        <v/>
      </c>
      <c r="AJ30" s="42" t="str">
        <f>IF(AND('Mapa final'!$Y$36="Media",'Mapa final'!$AA$36="Catastrófico"),CONCATENATE("R5C",'Mapa final'!$O$36),"")</f>
        <v/>
      </c>
      <c r="AK30" s="42" t="str">
        <f>IF(AND('Mapa final'!$Y$37="Media",'Mapa final'!$AA$37="Catastrófico"),CONCATENATE("R5C",'Mapa final'!$O$37),"")</f>
        <v/>
      </c>
      <c r="AL30" s="42" t="str">
        <f>IF(AND('Mapa final'!$Y$38="Media",'Mapa final'!$AA$38="Catastrófico"),CONCATENATE("R5C",'Mapa final'!$O$38),"")</f>
        <v/>
      </c>
      <c r="AM30" s="43" t="str">
        <f>IF(AND('Mapa final'!$Y$39="Media",'Mapa final'!$AA$39="Catastrófico"),CONCATENATE("R5C",'Mapa final'!$O$39),"")</f>
        <v/>
      </c>
      <c r="AN30" s="70"/>
      <c r="AO30" s="442"/>
      <c r="AP30" s="443"/>
      <c r="AQ30" s="443"/>
      <c r="AR30" s="443"/>
      <c r="AS30" s="443"/>
      <c r="AT30" s="444"/>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row>
    <row r="31" spans="1:76" ht="15" customHeight="1" x14ac:dyDescent="0.25">
      <c r="A31" s="70"/>
      <c r="B31" s="360"/>
      <c r="C31" s="360"/>
      <c r="D31" s="361"/>
      <c r="E31" s="401"/>
      <c r="F31" s="402"/>
      <c r="G31" s="402"/>
      <c r="H31" s="402"/>
      <c r="I31" s="403"/>
      <c r="J31" s="54" t="str">
        <f>IF(AND('Mapa final'!$Y$40="Media",'Mapa final'!$AA$40="Leve"),CONCATENATE("R6C",'Mapa final'!$O$40),"")</f>
        <v/>
      </c>
      <c r="K31" s="55" t="str">
        <f>IF(AND('Mapa final'!$Y$41="Media",'Mapa final'!$AA$41="Leve"),CONCATENATE("R6C",'Mapa final'!$O$41),"")</f>
        <v/>
      </c>
      <c r="L31" s="55" t="str">
        <f>IF(AND('Mapa final'!$Y$42="Media",'Mapa final'!$AA$42="Leve"),CONCATENATE("R6C",'Mapa final'!$O$42),"")</f>
        <v/>
      </c>
      <c r="M31" s="55" t="str">
        <f>IF(AND('Mapa final'!$Y$43="Media",'Mapa final'!$AA$43="Leve"),CONCATENATE("R6C",'Mapa final'!$O$43),"")</f>
        <v/>
      </c>
      <c r="N31" s="55" t="str">
        <f>IF(AND('Mapa final'!$Y$44="Media",'Mapa final'!$AA$44="Leve"),CONCATENATE("R6C",'Mapa final'!$O$44),"")</f>
        <v/>
      </c>
      <c r="O31" s="56" t="str">
        <f>IF(AND('Mapa final'!$Y$45="Media",'Mapa final'!$AA$45="Leve"),CONCATENATE("R6C",'Mapa final'!$O$45),"")</f>
        <v/>
      </c>
      <c r="P31" s="54" t="str">
        <f>IF(AND('Mapa final'!$Y$40="Media",'Mapa final'!$AA$40="Menor"),CONCATENATE("R6C",'Mapa final'!$O$40),"")</f>
        <v/>
      </c>
      <c r="Q31" s="55" t="str">
        <f>IF(AND('Mapa final'!$Y$41="Media",'Mapa final'!$AA$41="Menor"),CONCATENATE("R6C",'Mapa final'!$O$41),"")</f>
        <v/>
      </c>
      <c r="R31" s="55" t="str">
        <f>IF(AND('Mapa final'!$Y$42="Media",'Mapa final'!$AA$42="Menor"),CONCATENATE("R6C",'Mapa final'!$O$42),"")</f>
        <v/>
      </c>
      <c r="S31" s="55" t="str">
        <f>IF(AND('Mapa final'!$Y$43="Media",'Mapa final'!$AA$43="Menor"),CONCATENATE("R6C",'Mapa final'!$O$43),"")</f>
        <v/>
      </c>
      <c r="T31" s="55" t="str">
        <f>IF(AND('Mapa final'!$Y$44="Media",'Mapa final'!$AA$44="Menor"),CONCATENATE("R6C",'Mapa final'!$O$44),"")</f>
        <v/>
      </c>
      <c r="U31" s="56" t="str">
        <f>IF(AND('Mapa final'!$Y$45="Media",'Mapa final'!$AA$45="Menor"),CONCATENATE("R6C",'Mapa final'!$O$45),"")</f>
        <v/>
      </c>
      <c r="V31" s="54" t="str">
        <f>IF(AND('Mapa final'!$Y$40="Media",'Mapa final'!$AA$40="Moderado"),CONCATENATE("R6C",'Mapa final'!$O$40),"")</f>
        <v/>
      </c>
      <c r="W31" s="55" t="str">
        <f>IF(AND('Mapa final'!$Y$41="Media",'Mapa final'!$AA$41="Moderado"),CONCATENATE("R6C",'Mapa final'!$O$41),"")</f>
        <v/>
      </c>
      <c r="X31" s="55" t="str">
        <f>IF(AND('Mapa final'!$Y$42="Media",'Mapa final'!$AA$42="Moderado"),CONCATENATE("R6C",'Mapa final'!$O$42),"")</f>
        <v/>
      </c>
      <c r="Y31" s="55" t="str">
        <f>IF(AND('Mapa final'!$Y$43="Media",'Mapa final'!$AA$43="Moderado"),CONCATENATE("R6C",'Mapa final'!$O$43),"")</f>
        <v/>
      </c>
      <c r="Z31" s="55" t="str">
        <f>IF(AND('Mapa final'!$Y$44="Media",'Mapa final'!$AA$44="Moderado"),CONCATENATE("R6C",'Mapa final'!$O$44),"")</f>
        <v/>
      </c>
      <c r="AA31" s="56" t="str">
        <f>IF(AND('Mapa final'!$Y$45="Media",'Mapa final'!$AA$45="Moderado"),CONCATENATE("R6C",'Mapa final'!$O$45),"")</f>
        <v/>
      </c>
      <c r="AB31" s="38" t="str">
        <f>IF(AND('Mapa final'!$Y$40="Media",'Mapa final'!$AA$40="Mayor"),CONCATENATE("R6C",'Mapa final'!$O$40),"")</f>
        <v/>
      </c>
      <c r="AC31" s="39" t="str">
        <f>IF(AND('Mapa final'!$Y$41="Media",'Mapa final'!$AA$41="Mayor"),CONCATENATE("R6C",'Mapa final'!$O$41),"")</f>
        <v/>
      </c>
      <c r="AD31" s="44" t="str">
        <f>IF(AND('Mapa final'!$Y$42="Media",'Mapa final'!$AA$42="Mayor"),CONCATENATE("R6C",'Mapa final'!$O$42),"")</f>
        <v/>
      </c>
      <c r="AE31" s="44" t="str">
        <f>IF(AND('Mapa final'!$Y$43="Media",'Mapa final'!$AA$43="Mayor"),CONCATENATE("R6C",'Mapa final'!$O$43),"")</f>
        <v/>
      </c>
      <c r="AF31" s="44" t="str">
        <f>IF(AND('Mapa final'!$Y$44="Media",'Mapa final'!$AA$44="Mayor"),CONCATENATE("R6C",'Mapa final'!$O$44),"")</f>
        <v/>
      </c>
      <c r="AG31" s="40" t="str">
        <f>IF(AND('Mapa final'!$Y$45="Media",'Mapa final'!$AA$45="Mayor"),CONCATENATE("R6C",'Mapa final'!$O$45),"")</f>
        <v/>
      </c>
      <c r="AH31" s="41" t="str">
        <f>IF(AND('Mapa final'!$Y$40="Media",'Mapa final'!$AA$40="Catastrófico"),CONCATENATE("R6C",'Mapa final'!$O$40),"")</f>
        <v/>
      </c>
      <c r="AI31" s="42" t="str">
        <f>IF(AND('Mapa final'!$Y$41="Media",'Mapa final'!$AA$41="Catastrófico"),CONCATENATE("R6C",'Mapa final'!$O$41),"")</f>
        <v/>
      </c>
      <c r="AJ31" s="42" t="str">
        <f>IF(AND('Mapa final'!$Y$42="Media",'Mapa final'!$AA$42="Catastrófico"),CONCATENATE("R6C",'Mapa final'!$O$42),"")</f>
        <v/>
      </c>
      <c r="AK31" s="42" t="str">
        <f>IF(AND('Mapa final'!$Y$43="Media",'Mapa final'!$AA$43="Catastrófico"),CONCATENATE("R6C",'Mapa final'!$O$43),"")</f>
        <v/>
      </c>
      <c r="AL31" s="42" t="str">
        <f>IF(AND('Mapa final'!$Y$44="Media",'Mapa final'!$AA$44="Catastrófico"),CONCATENATE("R6C",'Mapa final'!$O$44),"")</f>
        <v/>
      </c>
      <c r="AM31" s="43" t="str">
        <f>IF(AND('Mapa final'!$Y$45="Media",'Mapa final'!$AA$45="Catastrófico"),CONCATENATE("R6C",'Mapa final'!$O$45),"")</f>
        <v/>
      </c>
      <c r="AN31" s="70"/>
      <c r="AO31" s="442"/>
      <c r="AP31" s="443"/>
      <c r="AQ31" s="443"/>
      <c r="AR31" s="443"/>
      <c r="AS31" s="443"/>
      <c r="AT31" s="444"/>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row>
    <row r="32" spans="1:76" ht="15" customHeight="1" x14ac:dyDescent="0.25">
      <c r="A32" s="70"/>
      <c r="B32" s="360"/>
      <c r="C32" s="360"/>
      <c r="D32" s="361"/>
      <c r="E32" s="401"/>
      <c r="F32" s="402"/>
      <c r="G32" s="402"/>
      <c r="H32" s="402"/>
      <c r="I32" s="403"/>
      <c r="J32" s="54" t="str">
        <f>IF(AND('Mapa final'!$Y$46="Media",'Mapa final'!$AA$46="Leve"),CONCATENATE("R7C",'Mapa final'!$O$46),"")</f>
        <v/>
      </c>
      <c r="K32" s="55" t="str">
        <f>IF(AND('Mapa final'!$Y$47="Media",'Mapa final'!$AA$47="Leve"),CONCATENATE("R7C",'Mapa final'!$O$47),"")</f>
        <v/>
      </c>
      <c r="L32" s="55" t="str">
        <f>IF(AND('Mapa final'!$Y$48="Media",'Mapa final'!$AA$48="Leve"),CONCATENATE("R7C",'Mapa final'!$O$48),"")</f>
        <v/>
      </c>
      <c r="M32" s="55" t="str">
        <f>IF(AND('Mapa final'!$Y$49="Media",'Mapa final'!$AA$49="Leve"),CONCATENATE("R7C",'Mapa final'!$O$49),"")</f>
        <v/>
      </c>
      <c r="N32" s="55" t="str">
        <f>IF(AND('Mapa final'!$Y$50="Media",'Mapa final'!$AA$50="Leve"),CONCATENATE("R7C",'Mapa final'!$O$50),"")</f>
        <v/>
      </c>
      <c r="O32" s="56" t="str">
        <f>IF(AND('Mapa final'!$Y$51="Media",'Mapa final'!$AA$51="Leve"),CONCATENATE("R7C",'Mapa final'!$O$51),"")</f>
        <v/>
      </c>
      <c r="P32" s="54" t="str">
        <f>IF(AND('Mapa final'!$Y$46="Media",'Mapa final'!$AA$46="Menor"),CONCATENATE("R7C",'Mapa final'!$O$46),"")</f>
        <v/>
      </c>
      <c r="Q32" s="55" t="str">
        <f>IF(AND('Mapa final'!$Y$47="Media",'Mapa final'!$AA$47="Menor"),CONCATENATE("R7C",'Mapa final'!$O$47),"")</f>
        <v/>
      </c>
      <c r="R32" s="55" t="str">
        <f>IF(AND('Mapa final'!$Y$48="Media",'Mapa final'!$AA$48="Menor"),CONCATENATE("R7C",'Mapa final'!$O$48),"")</f>
        <v/>
      </c>
      <c r="S32" s="55" t="str">
        <f>IF(AND('Mapa final'!$Y$49="Media",'Mapa final'!$AA$49="Menor"),CONCATENATE("R7C",'Mapa final'!$O$49),"")</f>
        <v/>
      </c>
      <c r="T32" s="55" t="str">
        <f>IF(AND('Mapa final'!$Y$50="Media",'Mapa final'!$AA$50="Menor"),CONCATENATE("R7C",'Mapa final'!$O$50),"")</f>
        <v/>
      </c>
      <c r="U32" s="56" t="str">
        <f>IF(AND('Mapa final'!$Y$51="Media",'Mapa final'!$AA$51="Menor"),CONCATENATE("R7C",'Mapa final'!$O$51),"")</f>
        <v/>
      </c>
      <c r="V32" s="54" t="str">
        <f>IF(AND('Mapa final'!$Y$46="Media",'Mapa final'!$AA$46="Moderado"),CONCATENATE("R7C",'Mapa final'!$O$46),"")</f>
        <v/>
      </c>
      <c r="W32" s="55" t="str">
        <f>IF(AND('Mapa final'!$Y$47="Media",'Mapa final'!$AA$47="Moderado"),CONCATENATE("R7C",'Mapa final'!$O$47),"")</f>
        <v/>
      </c>
      <c r="X32" s="55" t="str">
        <f>IF(AND('Mapa final'!$Y$48="Media",'Mapa final'!$AA$48="Moderado"),CONCATENATE("R7C",'Mapa final'!$O$48),"")</f>
        <v/>
      </c>
      <c r="Y32" s="55" t="str">
        <f>IF(AND('Mapa final'!$Y$49="Media",'Mapa final'!$AA$49="Moderado"),CONCATENATE("R7C",'Mapa final'!$O$49),"")</f>
        <v/>
      </c>
      <c r="Z32" s="55" t="str">
        <f>IF(AND('Mapa final'!$Y$50="Media",'Mapa final'!$AA$50="Moderado"),CONCATENATE("R7C",'Mapa final'!$O$50),"")</f>
        <v/>
      </c>
      <c r="AA32" s="56" t="str">
        <f>IF(AND('Mapa final'!$Y$51="Media",'Mapa final'!$AA$51="Moderado"),CONCATENATE("R7C",'Mapa final'!$O$51),"")</f>
        <v/>
      </c>
      <c r="AB32" s="38" t="str">
        <f>IF(AND('Mapa final'!$Y$46="Media",'Mapa final'!$AA$46="Mayor"),CONCATENATE("R7C",'Mapa final'!$O$46),"")</f>
        <v/>
      </c>
      <c r="AC32" s="39" t="str">
        <f>IF(AND('Mapa final'!$Y$47="Media",'Mapa final'!$AA$47="Mayor"),CONCATENATE("R7C",'Mapa final'!$O$47),"")</f>
        <v/>
      </c>
      <c r="AD32" s="44" t="str">
        <f>IF(AND('Mapa final'!$Y$48="Media",'Mapa final'!$AA$48="Mayor"),CONCATENATE("R7C",'Mapa final'!$O$48),"")</f>
        <v/>
      </c>
      <c r="AE32" s="44" t="str">
        <f>IF(AND('Mapa final'!$Y$49="Media",'Mapa final'!$AA$49="Mayor"),CONCATENATE("R7C",'Mapa final'!$O$49),"")</f>
        <v/>
      </c>
      <c r="AF32" s="44" t="str">
        <f>IF(AND('Mapa final'!$Y$50="Media",'Mapa final'!$AA$50="Mayor"),CONCATENATE("R7C",'Mapa final'!$O$50),"")</f>
        <v/>
      </c>
      <c r="AG32" s="40" t="str">
        <f>IF(AND('Mapa final'!$Y$51="Media",'Mapa final'!$AA$51="Mayor"),CONCATENATE("R7C",'Mapa final'!$O$51),"")</f>
        <v/>
      </c>
      <c r="AH32" s="41" t="str">
        <f>IF(AND('Mapa final'!$Y$46="Media",'Mapa final'!$AA$46="Catastrófico"),CONCATENATE("R7C",'Mapa final'!$O$46),"")</f>
        <v/>
      </c>
      <c r="AI32" s="42" t="str">
        <f>IF(AND('Mapa final'!$Y$47="Media",'Mapa final'!$AA$47="Catastrófico"),CONCATENATE("R7C",'Mapa final'!$O$47),"")</f>
        <v/>
      </c>
      <c r="AJ32" s="42" t="str">
        <f>IF(AND('Mapa final'!$Y$48="Media",'Mapa final'!$AA$48="Catastrófico"),CONCATENATE("R7C",'Mapa final'!$O$48),"")</f>
        <v/>
      </c>
      <c r="AK32" s="42" t="str">
        <f>IF(AND('Mapa final'!$Y$49="Media",'Mapa final'!$AA$49="Catastrófico"),CONCATENATE("R7C",'Mapa final'!$O$49),"")</f>
        <v/>
      </c>
      <c r="AL32" s="42" t="str">
        <f>IF(AND('Mapa final'!$Y$50="Media",'Mapa final'!$AA$50="Catastrófico"),CONCATENATE("R7C",'Mapa final'!$O$50),"")</f>
        <v/>
      </c>
      <c r="AM32" s="43" t="str">
        <f>IF(AND('Mapa final'!$Y$51="Media",'Mapa final'!$AA$51="Catastrófico"),CONCATENATE("R7C",'Mapa final'!$O$51),"")</f>
        <v/>
      </c>
      <c r="AN32" s="70"/>
      <c r="AO32" s="442"/>
      <c r="AP32" s="443"/>
      <c r="AQ32" s="443"/>
      <c r="AR32" s="443"/>
      <c r="AS32" s="443"/>
      <c r="AT32" s="444"/>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row>
    <row r="33" spans="1:80" ht="15" customHeight="1" x14ac:dyDescent="0.25">
      <c r="A33" s="70"/>
      <c r="B33" s="360"/>
      <c r="C33" s="360"/>
      <c r="D33" s="361"/>
      <c r="E33" s="401"/>
      <c r="F33" s="402"/>
      <c r="G33" s="402"/>
      <c r="H33" s="402"/>
      <c r="I33" s="403"/>
      <c r="J33" s="54" t="str">
        <f>IF(AND('Mapa final'!$Y$52="Media",'Mapa final'!$AA$52="Leve"),CONCATENATE("R8C",'Mapa final'!$O$52),"")</f>
        <v/>
      </c>
      <c r="K33" s="55" t="str">
        <f>IF(AND('Mapa final'!$Y$53="Media",'Mapa final'!$AA$53="Leve"),CONCATENATE("R8C",'Mapa final'!$O$53),"")</f>
        <v/>
      </c>
      <c r="L33" s="55" t="str">
        <f>IF(AND('Mapa final'!$Y$54="Media",'Mapa final'!$AA$54="Leve"),CONCATENATE("R8C",'Mapa final'!$O$54),"")</f>
        <v/>
      </c>
      <c r="M33" s="55" t="str">
        <f>IF(AND('Mapa final'!$Y$55="Media",'Mapa final'!$AA$55="Leve"),CONCATENATE("R8C",'Mapa final'!$O$55),"")</f>
        <v/>
      </c>
      <c r="N33" s="55" t="str">
        <f>IF(AND('Mapa final'!$Y$56="Media",'Mapa final'!$AA$56="Leve"),CONCATENATE("R8C",'Mapa final'!$O$56),"")</f>
        <v/>
      </c>
      <c r="O33" s="56" t="str">
        <f>IF(AND('Mapa final'!$Y$57="Media",'Mapa final'!$AA$57="Leve"),CONCATENATE("R8C",'Mapa final'!$O$57),"")</f>
        <v/>
      </c>
      <c r="P33" s="54" t="str">
        <f>IF(AND('Mapa final'!$Y$52="Media",'Mapa final'!$AA$52="Menor"),CONCATENATE("R8C",'Mapa final'!$O$52),"")</f>
        <v/>
      </c>
      <c r="Q33" s="55" t="str">
        <f>IF(AND('Mapa final'!$Y$53="Media",'Mapa final'!$AA$53="Menor"),CONCATENATE("R8C",'Mapa final'!$O$53),"")</f>
        <v/>
      </c>
      <c r="R33" s="55" t="str">
        <f>IF(AND('Mapa final'!$Y$54="Media",'Mapa final'!$AA$54="Menor"),CONCATENATE("R8C",'Mapa final'!$O$54),"")</f>
        <v/>
      </c>
      <c r="S33" s="55" t="str">
        <f>IF(AND('Mapa final'!$Y$55="Media",'Mapa final'!$AA$55="Menor"),CONCATENATE("R8C",'Mapa final'!$O$55),"")</f>
        <v/>
      </c>
      <c r="T33" s="55" t="str">
        <f>IF(AND('Mapa final'!$Y$56="Media",'Mapa final'!$AA$56="Menor"),CONCATENATE("R8C",'Mapa final'!$O$56),"")</f>
        <v/>
      </c>
      <c r="U33" s="56" t="str">
        <f>IF(AND('Mapa final'!$Y$57="Media",'Mapa final'!$AA$57="Menor"),CONCATENATE("R8C",'Mapa final'!$O$57),"")</f>
        <v/>
      </c>
      <c r="V33" s="54" t="str">
        <f>IF(AND('Mapa final'!$Y$52="Media",'Mapa final'!$AA$52="Moderado"),CONCATENATE("R8C",'Mapa final'!$O$52),"")</f>
        <v/>
      </c>
      <c r="W33" s="55" t="str">
        <f>IF(AND('Mapa final'!$Y$53="Media",'Mapa final'!$AA$53="Moderado"),CONCATENATE("R8C",'Mapa final'!$O$53),"")</f>
        <v/>
      </c>
      <c r="X33" s="55" t="str">
        <f>IF(AND('Mapa final'!$Y$54="Media",'Mapa final'!$AA$54="Moderado"),CONCATENATE("R8C",'Mapa final'!$O$54),"")</f>
        <v/>
      </c>
      <c r="Y33" s="55" t="str">
        <f>IF(AND('Mapa final'!$Y$55="Media",'Mapa final'!$AA$55="Moderado"),CONCATENATE("R8C",'Mapa final'!$O$55),"")</f>
        <v/>
      </c>
      <c r="Z33" s="55" t="str">
        <f>IF(AND('Mapa final'!$Y$56="Media",'Mapa final'!$AA$56="Moderado"),CONCATENATE("R8C",'Mapa final'!$O$56),"")</f>
        <v/>
      </c>
      <c r="AA33" s="56" t="str">
        <f>IF(AND('Mapa final'!$Y$57="Media",'Mapa final'!$AA$57="Moderado"),CONCATENATE("R8C",'Mapa final'!$O$57),"")</f>
        <v/>
      </c>
      <c r="AB33" s="38" t="str">
        <f>IF(AND('Mapa final'!$Y$52="Media",'Mapa final'!$AA$52="Mayor"),CONCATENATE("R8C",'Mapa final'!$O$52),"")</f>
        <v/>
      </c>
      <c r="AC33" s="39" t="str">
        <f>IF(AND('Mapa final'!$Y$53="Media",'Mapa final'!$AA$53="Mayor"),CONCATENATE("R8C",'Mapa final'!$O$53),"")</f>
        <v/>
      </c>
      <c r="AD33" s="44" t="str">
        <f>IF(AND('Mapa final'!$Y$54="Media",'Mapa final'!$AA$54="Mayor"),CONCATENATE("R8C",'Mapa final'!$O$54),"")</f>
        <v/>
      </c>
      <c r="AE33" s="44" t="str">
        <f>IF(AND('Mapa final'!$Y$55="Media",'Mapa final'!$AA$55="Mayor"),CONCATENATE("R8C",'Mapa final'!$O$55),"")</f>
        <v/>
      </c>
      <c r="AF33" s="44" t="str">
        <f>IF(AND('Mapa final'!$Y$56="Media",'Mapa final'!$AA$56="Mayor"),CONCATENATE("R8C",'Mapa final'!$O$56),"")</f>
        <v/>
      </c>
      <c r="AG33" s="40" t="str">
        <f>IF(AND('Mapa final'!$Y$57="Media",'Mapa final'!$AA$57="Mayor"),CONCATENATE("R8C",'Mapa final'!$O$57),"")</f>
        <v/>
      </c>
      <c r="AH33" s="41" t="str">
        <f>IF(AND('Mapa final'!$Y$52="Media",'Mapa final'!$AA$52="Catastrófico"),CONCATENATE("R8C",'Mapa final'!$O$52),"")</f>
        <v/>
      </c>
      <c r="AI33" s="42" t="str">
        <f>IF(AND('Mapa final'!$Y$53="Media",'Mapa final'!$AA$53="Catastrófico"),CONCATENATE("R8C",'Mapa final'!$O$53),"")</f>
        <v/>
      </c>
      <c r="AJ33" s="42" t="str">
        <f>IF(AND('Mapa final'!$Y$54="Media",'Mapa final'!$AA$54="Catastrófico"),CONCATENATE("R8C",'Mapa final'!$O$54),"")</f>
        <v/>
      </c>
      <c r="AK33" s="42" t="str">
        <f>IF(AND('Mapa final'!$Y$55="Media",'Mapa final'!$AA$55="Catastrófico"),CONCATENATE("R8C",'Mapa final'!$O$55),"")</f>
        <v/>
      </c>
      <c r="AL33" s="42" t="str">
        <f>IF(AND('Mapa final'!$Y$56="Media",'Mapa final'!$AA$56="Catastrófico"),CONCATENATE("R8C",'Mapa final'!$O$56),"")</f>
        <v/>
      </c>
      <c r="AM33" s="43" t="str">
        <f>IF(AND('Mapa final'!$Y$57="Media",'Mapa final'!$AA$57="Catastrófico"),CONCATENATE("R8C",'Mapa final'!$O$57),"")</f>
        <v/>
      </c>
      <c r="AN33" s="70"/>
      <c r="AO33" s="442"/>
      <c r="AP33" s="443"/>
      <c r="AQ33" s="443"/>
      <c r="AR33" s="443"/>
      <c r="AS33" s="443"/>
      <c r="AT33" s="444"/>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row>
    <row r="34" spans="1:80" ht="15" customHeight="1" x14ac:dyDescent="0.25">
      <c r="A34" s="70"/>
      <c r="B34" s="360"/>
      <c r="C34" s="360"/>
      <c r="D34" s="361"/>
      <c r="E34" s="401"/>
      <c r="F34" s="402"/>
      <c r="G34" s="402"/>
      <c r="H34" s="402"/>
      <c r="I34" s="403"/>
      <c r="J34" s="54" t="str">
        <f>IF(AND('Mapa final'!$Y$58="Media",'Mapa final'!$AA$58="Leve"),CONCATENATE("R9C",'Mapa final'!$O$58),"")</f>
        <v/>
      </c>
      <c r="K34" s="55" t="str">
        <f>IF(AND('Mapa final'!$Y$59="Media",'Mapa final'!$AA$59="Leve"),CONCATENATE("R9C",'Mapa final'!$O$59),"")</f>
        <v/>
      </c>
      <c r="L34" s="55" t="str">
        <f>IF(AND('Mapa final'!$Y$60="Media",'Mapa final'!$AA$60="Leve"),CONCATENATE("R9C",'Mapa final'!$O$60),"")</f>
        <v/>
      </c>
      <c r="M34" s="55" t="str">
        <f>IF(AND('Mapa final'!$Y$61="Media",'Mapa final'!$AA$61="Leve"),CONCATENATE("R9C",'Mapa final'!$O$61),"")</f>
        <v/>
      </c>
      <c r="N34" s="55" t="str">
        <f>IF(AND('Mapa final'!$Y$62="Media",'Mapa final'!$AA$62="Leve"),CONCATENATE("R9C",'Mapa final'!$O$62),"")</f>
        <v/>
      </c>
      <c r="O34" s="56" t="str">
        <f>IF(AND('Mapa final'!$Y$63="Media",'Mapa final'!$AA$63="Leve"),CONCATENATE("R9C",'Mapa final'!$O$63),"")</f>
        <v/>
      </c>
      <c r="P34" s="54" t="str">
        <f>IF(AND('Mapa final'!$Y$58="Media",'Mapa final'!$AA$58="Menor"),CONCATENATE("R9C",'Mapa final'!$O$58),"")</f>
        <v/>
      </c>
      <c r="Q34" s="55" t="str">
        <f>IF(AND('Mapa final'!$Y$59="Media",'Mapa final'!$AA$59="Menor"),CONCATENATE("R9C",'Mapa final'!$O$59),"")</f>
        <v/>
      </c>
      <c r="R34" s="55" t="str">
        <f>IF(AND('Mapa final'!$Y$60="Media",'Mapa final'!$AA$60="Menor"),CONCATENATE("R9C",'Mapa final'!$O$60),"")</f>
        <v/>
      </c>
      <c r="S34" s="55" t="str">
        <f>IF(AND('Mapa final'!$Y$61="Media",'Mapa final'!$AA$61="Menor"),CONCATENATE("R9C",'Mapa final'!$O$61),"")</f>
        <v/>
      </c>
      <c r="T34" s="55" t="str">
        <f>IF(AND('Mapa final'!$Y$62="Media",'Mapa final'!$AA$62="Menor"),CONCATENATE("R9C",'Mapa final'!$O$62),"")</f>
        <v/>
      </c>
      <c r="U34" s="56" t="str">
        <f>IF(AND('Mapa final'!$Y$63="Media",'Mapa final'!$AA$63="Menor"),CONCATENATE("R9C",'Mapa final'!$O$63),"")</f>
        <v/>
      </c>
      <c r="V34" s="54" t="str">
        <f>IF(AND('Mapa final'!$Y$58="Media",'Mapa final'!$AA$58="Moderado"),CONCATENATE("R9C",'Mapa final'!$O$58),"")</f>
        <v/>
      </c>
      <c r="W34" s="55" t="str">
        <f>IF(AND('Mapa final'!$Y$59="Media",'Mapa final'!$AA$59="Moderado"),CONCATENATE("R9C",'Mapa final'!$O$59),"")</f>
        <v/>
      </c>
      <c r="X34" s="55" t="str">
        <f>IF(AND('Mapa final'!$Y$60="Media",'Mapa final'!$AA$60="Moderado"),CONCATENATE("R9C",'Mapa final'!$O$60),"")</f>
        <v/>
      </c>
      <c r="Y34" s="55" t="str">
        <f>IF(AND('Mapa final'!$Y$61="Media",'Mapa final'!$AA$61="Moderado"),CONCATENATE("R9C",'Mapa final'!$O$61),"")</f>
        <v/>
      </c>
      <c r="Z34" s="55" t="str">
        <f>IF(AND('Mapa final'!$Y$62="Media",'Mapa final'!$AA$62="Moderado"),CONCATENATE("R9C",'Mapa final'!$O$62),"")</f>
        <v/>
      </c>
      <c r="AA34" s="56" t="str">
        <f>IF(AND('Mapa final'!$Y$63="Media",'Mapa final'!$AA$63="Moderado"),CONCATENATE("R9C",'Mapa final'!$O$63),"")</f>
        <v/>
      </c>
      <c r="AB34" s="38" t="str">
        <f>IF(AND('Mapa final'!$Y$58="Media",'Mapa final'!$AA$58="Mayor"),CONCATENATE("R9C",'Mapa final'!$O$58),"")</f>
        <v/>
      </c>
      <c r="AC34" s="39" t="str">
        <f>IF(AND('Mapa final'!$Y$59="Media",'Mapa final'!$AA$59="Mayor"),CONCATENATE("R9C",'Mapa final'!$O$59),"")</f>
        <v/>
      </c>
      <c r="AD34" s="44" t="str">
        <f>IF(AND('Mapa final'!$Y$60="Media",'Mapa final'!$AA$60="Mayor"),CONCATENATE("R9C",'Mapa final'!$O$60),"")</f>
        <v/>
      </c>
      <c r="AE34" s="44" t="str">
        <f>IF(AND('Mapa final'!$Y$61="Media",'Mapa final'!$AA$61="Mayor"),CONCATENATE("R9C",'Mapa final'!$O$61),"")</f>
        <v/>
      </c>
      <c r="AF34" s="44" t="str">
        <f>IF(AND('Mapa final'!$Y$62="Media",'Mapa final'!$AA$62="Mayor"),CONCATENATE("R9C",'Mapa final'!$O$62),"")</f>
        <v/>
      </c>
      <c r="AG34" s="40" t="str">
        <f>IF(AND('Mapa final'!$Y$63="Media",'Mapa final'!$AA$63="Mayor"),CONCATENATE("R9C",'Mapa final'!$O$63),"")</f>
        <v/>
      </c>
      <c r="AH34" s="41" t="str">
        <f>IF(AND('Mapa final'!$Y$58="Media",'Mapa final'!$AA$58="Catastrófico"),CONCATENATE("R9C",'Mapa final'!$O$58),"")</f>
        <v/>
      </c>
      <c r="AI34" s="42" t="str">
        <f>IF(AND('Mapa final'!$Y$59="Media",'Mapa final'!$AA$59="Catastrófico"),CONCATENATE("R9C",'Mapa final'!$O$59),"")</f>
        <v/>
      </c>
      <c r="AJ34" s="42" t="str">
        <f>IF(AND('Mapa final'!$Y$60="Media",'Mapa final'!$AA$60="Catastrófico"),CONCATENATE("R9C",'Mapa final'!$O$60),"")</f>
        <v/>
      </c>
      <c r="AK34" s="42" t="str">
        <f>IF(AND('Mapa final'!$Y$61="Media",'Mapa final'!$AA$61="Catastrófico"),CONCATENATE("R9C",'Mapa final'!$O$61),"")</f>
        <v/>
      </c>
      <c r="AL34" s="42" t="str">
        <f>IF(AND('Mapa final'!$Y$62="Media",'Mapa final'!$AA$62="Catastrófico"),CONCATENATE("R9C",'Mapa final'!$O$62),"")</f>
        <v/>
      </c>
      <c r="AM34" s="43" t="str">
        <f>IF(AND('Mapa final'!$Y$63="Media",'Mapa final'!$AA$63="Catastrófico"),CONCATENATE("R9C",'Mapa final'!$O$63),"")</f>
        <v/>
      </c>
      <c r="AN34" s="70"/>
      <c r="AO34" s="442"/>
      <c r="AP34" s="443"/>
      <c r="AQ34" s="443"/>
      <c r="AR34" s="443"/>
      <c r="AS34" s="443"/>
      <c r="AT34" s="444"/>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row>
    <row r="35" spans="1:80" ht="15.75" customHeight="1" thickBot="1" x14ac:dyDescent="0.3">
      <c r="A35" s="70"/>
      <c r="B35" s="360"/>
      <c r="C35" s="360"/>
      <c r="D35" s="361"/>
      <c r="E35" s="404"/>
      <c r="F35" s="405"/>
      <c r="G35" s="405"/>
      <c r="H35" s="405"/>
      <c r="I35" s="406"/>
      <c r="J35" s="54" t="str">
        <f>IF(AND('Mapa final'!$Y$64="Media",'Mapa final'!$AA$64="Leve"),CONCATENATE("R10C",'Mapa final'!$O$64),"")</f>
        <v/>
      </c>
      <c r="K35" s="55" t="str">
        <f>IF(AND('Mapa final'!$Y$65="Media",'Mapa final'!$AA$65="Leve"),CONCATENATE("R10C",'Mapa final'!$O$65),"")</f>
        <v/>
      </c>
      <c r="L35" s="55" t="str">
        <f>IF(AND('Mapa final'!$Y$66="Media",'Mapa final'!$AA$66="Leve"),CONCATENATE("R10C",'Mapa final'!$O$66),"")</f>
        <v/>
      </c>
      <c r="M35" s="55" t="str">
        <f>IF(AND('Mapa final'!$Y$67="Media",'Mapa final'!$AA$67="Leve"),CONCATENATE("R10C",'Mapa final'!$O$67),"")</f>
        <v/>
      </c>
      <c r="N35" s="55" t="str">
        <f>IF(AND('Mapa final'!$Y$68="Media",'Mapa final'!$AA$68="Leve"),CONCATENATE("R10C",'Mapa final'!$O$68),"")</f>
        <v/>
      </c>
      <c r="O35" s="56" t="str">
        <f>IF(AND('Mapa final'!$Y$69="Media",'Mapa final'!$AA$69="Leve"),CONCATENATE("R10C",'Mapa final'!$O$69),"")</f>
        <v/>
      </c>
      <c r="P35" s="54" t="str">
        <f>IF(AND('Mapa final'!$Y$64="Media",'Mapa final'!$AA$64="Menor"),CONCATENATE("R10C",'Mapa final'!$O$64),"")</f>
        <v/>
      </c>
      <c r="Q35" s="55" t="str">
        <f>IF(AND('Mapa final'!$Y$65="Media",'Mapa final'!$AA$65="Menor"),CONCATENATE("R10C",'Mapa final'!$O$65),"")</f>
        <v/>
      </c>
      <c r="R35" s="55" t="str">
        <f>IF(AND('Mapa final'!$Y$66="Media",'Mapa final'!$AA$66="Menor"),CONCATENATE("R10C",'Mapa final'!$O$66),"")</f>
        <v/>
      </c>
      <c r="S35" s="55" t="str">
        <f>IF(AND('Mapa final'!$Y$67="Media",'Mapa final'!$AA$67="Menor"),CONCATENATE("R10C",'Mapa final'!$O$67),"")</f>
        <v/>
      </c>
      <c r="T35" s="55" t="str">
        <f>IF(AND('Mapa final'!$Y$68="Media",'Mapa final'!$AA$68="Menor"),CONCATENATE("R10C",'Mapa final'!$O$68),"")</f>
        <v/>
      </c>
      <c r="U35" s="56" t="str">
        <f>IF(AND('Mapa final'!$Y$69="Media",'Mapa final'!$AA$69="Menor"),CONCATENATE("R10C",'Mapa final'!$O$69),"")</f>
        <v/>
      </c>
      <c r="V35" s="54" t="str">
        <f>IF(AND('Mapa final'!$Y$64="Media",'Mapa final'!$AA$64="Moderado"),CONCATENATE("R10C",'Mapa final'!$O$64),"")</f>
        <v/>
      </c>
      <c r="W35" s="55" t="str">
        <f>IF(AND('Mapa final'!$Y$65="Media",'Mapa final'!$AA$65="Moderado"),CONCATENATE("R10C",'Mapa final'!$O$65),"")</f>
        <v/>
      </c>
      <c r="X35" s="55" t="str">
        <f>IF(AND('Mapa final'!$Y$66="Media",'Mapa final'!$AA$66="Moderado"),CONCATENATE("R10C",'Mapa final'!$O$66),"")</f>
        <v/>
      </c>
      <c r="Y35" s="55" t="str">
        <f>IF(AND('Mapa final'!$Y$67="Media",'Mapa final'!$AA$67="Moderado"),CONCATENATE("R10C",'Mapa final'!$O$67),"")</f>
        <v/>
      </c>
      <c r="Z35" s="55" t="str">
        <f>IF(AND('Mapa final'!$Y$68="Media",'Mapa final'!$AA$68="Moderado"),CONCATENATE("R10C",'Mapa final'!$O$68),"")</f>
        <v/>
      </c>
      <c r="AA35" s="56" t="str">
        <f>IF(AND('Mapa final'!$Y$69="Media",'Mapa final'!$AA$69="Moderado"),CONCATENATE("R10C",'Mapa final'!$O$69),"")</f>
        <v/>
      </c>
      <c r="AB35" s="45" t="str">
        <f>IF(AND('Mapa final'!$Y$64="Media",'Mapa final'!$AA$64="Mayor"),CONCATENATE("R10C",'Mapa final'!$O$64),"")</f>
        <v/>
      </c>
      <c r="AC35" s="46" t="str">
        <f>IF(AND('Mapa final'!$Y$65="Media",'Mapa final'!$AA$65="Mayor"),CONCATENATE("R10C",'Mapa final'!$O$65),"")</f>
        <v/>
      </c>
      <c r="AD35" s="46" t="str">
        <f>IF(AND('Mapa final'!$Y$66="Media",'Mapa final'!$AA$66="Mayor"),CONCATENATE("R10C",'Mapa final'!$O$66),"")</f>
        <v/>
      </c>
      <c r="AE35" s="46" t="str">
        <f>IF(AND('Mapa final'!$Y$67="Media",'Mapa final'!$AA$67="Mayor"),CONCATENATE("R10C",'Mapa final'!$O$67),"")</f>
        <v/>
      </c>
      <c r="AF35" s="46" t="str">
        <f>IF(AND('Mapa final'!$Y$68="Media",'Mapa final'!$AA$68="Mayor"),CONCATENATE("R10C",'Mapa final'!$O$68),"")</f>
        <v/>
      </c>
      <c r="AG35" s="47" t="str">
        <f>IF(AND('Mapa final'!$Y$69="Media",'Mapa final'!$AA$69="Mayor"),CONCATENATE("R10C",'Mapa final'!$O$69),"")</f>
        <v/>
      </c>
      <c r="AH35" s="48" t="str">
        <f>IF(AND('Mapa final'!$Y$64="Media",'Mapa final'!$AA$64="Catastrófico"),CONCATENATE("R10C",'Mapa final'!$O$64),"")</f>
        <v/>
      </c>
      <c r="AI35" s="49" t="str">
        <f>IF(AND('Mapa final'!$Y$65="Media",'Mapa final'!$AA$65="Catastrófico"),CONCATENATE("R10C",'Mapa final'!$O$65),"")</f>
        <v/>
      </c>
      <c r="AJ35" s="49" t="str">
        <f>IF(AND('Mapa final'!$Y$66="Media",'Mapa final'!$AA$66="Catastrófico"),CONCATENATE("R10C",'Mapa final'!$O$66),"")</f>
        <v/>
      </c>
      <c r="AK35" s="49" t="str">
        <f>IF(AND('Mapa final'!$Y$67="Media",'Mapa final'!$AA$67="Catastrófico"),CONCATENATE("R10C",'Mapa final'!$O$67),"")</f>
        <v/>
      </c>
      <c r="AL35" s="49" t="str">
        <f>IF(AND('Mapa final'!$Y$68="Media",'Mapa final'!$AA$68="Catastrófico"),CONCATENATE("R10C",'Mapa final'!$O$68),"")</f>
        <v/>
      </c>
      <c r="AM35" s="50" t="str">
        <f>IF(AND('Mapa final'!$Y$69="Media",'Mapa final'!$AA$69="Catastrófico"),CONCATENATE("R10C",'Mapa final'!$O$69),"")</f>
        <v/>
      </c>
      <c r="AN35" s="70"/>
      <c r="AO35" s="445"/>
      <c r="AP35" s="446"/>
      <c r="AQ35" s="446"/>
      <c r="AR35" s="446"/>
      <c r="AS35" s="446"/>
      <c r="AT35" s="447"/>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row>
    <row r="36" spans="1:80" ht="15" customHeight="1" x14ac:dyDescent="0.25">
      <c r="A36" s="70"/>
      <c r="B36" s="360"/>
      <c r="C36" s="360"/>
      <c r="D36" s="361"/>
      <c r="E36" s="398" t="s">
        <v>114</v>
      </c>
      <c r="F36" s="399"/>
      <c r="G36" s="399"/>
      <c r="H36" s="399"/>
      <c r="I36" s="399"/>
      <c r="J36" s="60" t="str">
        <f>IF(AND('Mapa final'!$Y$10="Baja",'Mapa final'!$AA$10="Leve"),CONCATENATE("R1C",'Mapa final'!$O$10),"")</f>
        <v/>
      </c>
      <c r="K36" s="61" t="str">
        <f>IF(AND('Mapa final'!$Y$11="Baja",'Mapa final'!$AA$11="Leve"),CONCATENATE("R1C",'Mapa final'!$O$11),"")</f>
        <v/>
      </c>
      <c r="L36" s="61" t="str">
        <f>IF(AND('Mapa final'!$Y$12="Baja",'Mapa final'!$AA$12="Leve"),CONCATENATE("R1C",'Mapa final'!$O$12),"")</f>
        <v/>
      </c>
      <c r="M36" s="61" t="str">
        <f>IF(AND('Mapa final'!$Y$13="Baja",'Mapa final'!$AA$13="Leve"),CONCATENATE("R1C",'Mapa final'!$O$13),"")</f>
        <v/>
      </c>
      <c r="N36" s="61" t="str">
        <f>IF(AND('Mapa final'!$Y$14="Baja",'Mapa final'!$AA$14="Leve"),CONCATENATE("R1C",'Mapa final'!$O$14),"")</f>
        <v/>
      </c>
      <c r="O36" s="62" t="str">
        <f>IF(AND('Mapa final'!$Y$15="Baja",'Mapa final'!$AA$15="Leve"),CONCATENATE("R1C",'Mapa final'!$O$15),"")</f>
        <v/>
      </c>
      <c r="P36" s="51" t="str">
        <f>IF(AND('Mapa final'!$Y$10="Baja",'Mapa final'!$AA$10="Menor"),CONCATENATE("R1C",'Mapa final'!$O$10),"")</f>
        <v>R1C18</v>
      </c>
      <c r="Q36" s="52" t="str">
        <f>IF(AND('Mapa final'!$Y$11="Baja",'Mapa final'!$AA$11="Menor"),CONCATENATE("R1C",'Mapa final'!$O$11),"")</f>
        <v/>
      </c>
      <c r="R36" s="52" t="str">
        <f>IF(AND('Mapa final'!$Y$12="Baja",'Mapa final'!$AA$12="Menor"),CONCATENATE("R1C",'Mapa final'!$O$12),"")</f>
        <v/>
      </c>
      <c r="S36" s="52" t="str">
        <f>IF(AND('Mapa final'!$Y$13="Baja",'Mapa final'!$AA$13="Menor"),CONCATENATE("R1C",'Mapa final'!$O$13),"")</f>
        <v/>
      </c>
      <c r="T36" s="52" t="str">
        <f>IF(AND('Mapa final'!$Y$14="Baja",'Mapa final'!$AA$14="Menor"),CONCATENATE("R1C",'Mapa final'!$O$14),"")</f>
        <v/>
      </c>
      <c r="U36" s="53" t="str">
        <f>IF(AND('Mapa final'!$Y$15="Baja",'Mapa final'!$AA$15="Menor"),CONCATENATE("R1C",'Mapa final'!$O$15),"")</f>
        <v/>
      </c>
      <c r="V36" s="51" t="str">
        <f>IF(AND('Mapa final'!$Y$10="Baja",'Mapa final'!$AA$10="Moderado"),CONCATENATE("R1C",'Mapa final'!$O$10),"")</f>
        <v/>
      </c>
      <c r="W36" s="52" t="str">
        <f>IF(AND('Mapa final'!$Y$11="Baja",'Mapa final'!$AA$11="Moderado"),CONCATENATE("R1C",'Mapa final'!$O$11),"")</f>
        <v/>
      </c>
      <c r="X36" s="52" t="str">
        <f>IF(AND('Mapa final'!$Y$12="Baja",'Mapa final'!$AA$12="Moderado"),CONCATENATE("R1C",'Mapa final'!$O$12),"")</f>
        <v/>
      </c>
      <c r="Y36" s="52" t="str">
        <f>IF(AND('Mapa final'!$Y$13="Baja",'Mapa final'!$AA$13="Moderado"),CONCATENATE("R1C",'Mapa final'!$O$13),"")</f>
        <v/>
      </c>
      <c r="Z36" s="52" t="str">
        <f>IF(AND('Mapa final'!$Y$14="Baja",'Mapa final'!$AA$14="Moderado"),CONCATENATE("R1C",'Mapa final'!$O$14),"")</f>
        <v/>
      </c>
      <c r="AA36" s="53" t="str">
        <f>IF(AND('Mapa final'!$Y$15="Baja",'Mapa final'!$AA$15="Moderado"),CONCATENATE("R1C",'Mapa final'!$O$15),"")</f>
        <v/>
      </c>
      <c r="AB36" s="32" t="str">
        <f>IF(AND('Mapa final'!$Y$10="Baja",'Mapa final'!$AA$10="Mayor"),CONCATENATE("R1C",'Mapa final'!$O$10),"")</f>
        <v/>
      </c>
      <c r="AC36" s="33" t="str">
        <f>IF(AND('Mapa final'!$Y$11="Baja",'Mapa final'!$AA$11="Mayor"),CONCATENATE("R1C",'Mapa final'!$O$11),"")</f>
        <v/>
      </c>
      <c r="AD36" s="33" t="str">
        <f>IF(AND('Mapa final'!$Y$12="Baja",'Mapa final'!$AA$12="Mayor"),CONCATENATE("R1C",'Mapa final'!$O$12),"")</f>
        <v/>
      </c>
      <c r="AE36" s="33" t="str">
        <f>IF(AND('Mapa final'!$Y$13="Baja",'Mapa final'!$AA$13="Mayor"),CONCATENATE("R1C",'Mapa final'!$O$13),"")</f>
        <v/>
      </c>
      <c r="AF36" s="33" t="str">
        <f>IF(AND('Mapa final'!$Y$14="Baja",'Mapa final'!$AA$14="Mayor"),CONCATENATE("R1C",'Mapa final'!$O$14),"")</f>
        <v/>
      </c>
      <c r="AG36" s="34" t="str">
        <f>IF(AND('Mapa final'!$Y$15="Baja",'Mapa final'!$AA$15="Mayor"),CONCATENATE("R1C",'Mapa final'!$O$15),"")</f>
        <v/>
      </c>
      <c r="AH36" s="35" t="str">
        <f>IF(AND('Mapa final'!$Y$10="Baja",'Mapa final'!$AA$10="Catastrófico"),CONCATENATE("R1C",'Mapa final'!$O$10),"")</f>
        <v/>
      </c>
      <c r="AI36" s="36" t="str">
        <f>IF(AND('Mapa final'!$Y$11="Baja",'Mapa final'!$AA$11="Catastrófico"),CONCATENATE("R1C",'Mapa final'!$O$11),"")</f>
        <v/>
      </c>
      <c r="AJ36" s="36" t="str">
        <f>IF(AND('Mapa final'!$Y$12="Baja",'Mapa final'!$AA$12="Catastrófico"),CONCATENATE("R1C",'Mapa final'!$O$12),"")</f>
        <v/>
      </c>
      <c r="AK36" s="36" t="str">
        <f>IF(AND('Mapa final'!$Y$13="Baja",'Mapa final'!$AA$13="Catastrófico"),CONCATENATE("R1C",'Mapa final'!$O$13),"")</f>
        <v/>
      </c>
      <c r="AL36" s="36" t="str">
        <f>IF(AND('Mapa final'!$Y$14="Baja",'Mapa final'!$AA$14="Catastrófico"),CONCATENATE("R1C",'Mapa final'!$O$14),"")</f>
        <v/>
      </c>
      <c r="AM36" s="37" t="str">
        <f>IF(AND('Mapa final'!$Y$15="Baja",'Mapa final'!$AA$15="Catastrófico"),CONCATENATE("R1C",'Mapa final'!$O$15),"")</f>
        <v/>
      </c>
      <c r="AN36" s="70"/>
      <c r="AO36" s="430" t="s">
        <v>82</v>
      </c>
      <c r="AP36" s="431"/>
      <c r="AQ36" s="431"/>
      <c r="AR36" s="431"/>
      <c r="AS36" s="431"/>
      <c r="AT36" s="432"/>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row>
    <row r="37" spans="1:80" ht="15" customHeight="1" x14ac:dyDescent="0.25">
      <c r="A37" s="70"/>
      <c r="B37" s="360"/>
      <c r="C37" s="360"/>
      <c r="D37" s="361"/>
      <c r="E37" s="417"/>
      <c r="F37" s="418"/>
      <c r="G37" s="418"/>
      <c r="H37" s="418"/>
      <c r="I37" s="418"/>
      <c r="J37" s="63" t="str">
        <f>IF(AND('Mapa final'!$Y$16="Baja",'Mapa final'!$AA$16="Leve"),CONCATENATE("R2C",'Mapa final'!$O$16),"")</f>
        <v/>
      </c>
      <c r="K37" s="64" t="str">
        <f>IF(AND('Mapa final'!$Y$17="Baja",'Mapa final'!$AA$17="Leve"),CONCATENATE("R2C",'Mapa final'!$O$17),"")</f>
        <v/>
      </c>
      <c r="L37" s="64" t="str">
        <f>IF(AND('Mapa final'!$Y$18="Baja",'Mapa final'!$AA$18="Leve"),CONCATENATE("R2C",'Mapa final'!$O$18),"")</f>
        <v/>
      </c>
      <c r="M37" s="64" t="str">
        <f>IF(AND('Mapa final'!$Y$19="Baja",'Mapa final'!$AA$19="Leve"),CONCATENATE("R2C",'Mapa final'!$O$19),"")</f>
        <v/>
      </c>
      <c r="N37" s="64" t="str">
        <f>IF(AND('Mapa final'!$Y$20="Baja",'Mapa final'!$AA$20="Leve"),CONCATENATE("R2C",'Mapa final'!$O$20),"")</f>
        <v/>
      </c>
      <c r="O37" s="65" t="str">
        <f>IF(AND('Mapa final'!$Y$21="Baja",'Mapa final'!$AA$21="Leve"),CONCATENATE("R2C",'Mapa final'!$O$21),"")</f>
        <v/>
      </c>
      <c r="P37" s="54" t="str">
        <f>IF(AND('Mapa final'!$Y$16="Baja",'Mapa final'!$AA$16="Menor"),CONCATENATE("R2C",'Mapa final'!$O$16),"")</f>
        <v>R2C19</v>
      </c>
      <c r="Q37" s="55" t="str">
        <f>IF(AND('Mapa final'!$Y$17="Baja",'Mapa final'!$AA$17="Menor"),CONCATENATE("R2C",'Mapa final'!$O$17),"")</f>
        <v/>
      </c>
      <c r="R37" s="55" t="str">
        <f>IF(AND('Mapa final'!$Y$18="Baja",'Mapa final'!$AA$18="Menor"),CONCATENATE("R2C",'Mapa final'!$O$18),"")</f>
        <v/>
      </c>
      <c r="S37" s="55" t="str">
        <f>IF(AND('Mapa final'!$Y$19="Baja",'Mapa final'!$AA$19="Menor"),CONCATENATE("R2C",'Mapa final'!$O$19),"")</f>
        <v/>
      </c>
      <c r="T37" s="55" t="str">
        <f>IF(AND('Mapa final'!$Y$20="Baja",'Mapa final'!$AA$20="Menor"),CONCATENATE("R2C",'Mapa final'!$O$20),"")</f>
        <v/>
      </c>
      <c r="U37" s="56" t="str">
        <f>IF(AND('Mapa final'!$Y$21="Baja",'Mapa final'!$AA$21="Menor"),CONCATENATE("R2C",'Mapa final'!$O$21),"")</f>
        <v/>
      </c>
      <c r="V37" s="54" t="str">
        <f>IF(AND('Mapa final'!$Y$16="Baja",'Mapa final'!$AA$16="Moderado"),CONCATENATE("R2C",'Mapa final'!$O$16),"")</f>
        <v/>
      </c>
      <c r="W37" s="55" t="str">
        <f>IF(AND('Mapa final'!$Y$17="Baja",'Mapa final'!$AA$17="Moderado"),CONCATENATE("R2C",'Mapa final'!$O$17),"")</f>
        <v/>
      </c>
      <c r="X37" s="55" t="str">
        <f>IF(AND('Mapa final'!$Y$18="Baja",'Mapa final'!$AA$18="Moderado"),CONCATENATE("R2C",'Mapa final'!$O$18),"")</f>
        <v/>
      </c>
      <c r="Y37" s="55" t="str">
        <f>IF(AND('Mapa final'!$Y$19="Baja",'Mapa final'!$AA$19="Moderado"),CONCATENATE("R2C",'Mapa final'!$O$19),"")</f>
        <v/>
      </c>
      <c r="Z37" s="55" t="str">
        <f>IF(AND('Mapa final'!$Y$20="Baja",'Mapa final'!$AA$20="Moderado"),CONCATENATE("R2C",'Mapa final'!$O$20),"")</f>
        <v/>
      </c>
      <c r="AA37" s="56" t="str">
        <f>IF(AND('Mapa final'!$Y$21="Baja",'Mapa final'!$AA$21="Moderado"),CONCATENATE("R2C",'Mapa final'!$O$21),"")</f>
        <v/>
      </c>
      <c r="AB37" s="38" t="str">
        <f>IF(AND('Mapa final'!$Y$16="Baja",'Mapa final'!$AA$16="Mayor"),CONCATENATE("R2C",'Mapa final'!$O$16),"")</f>
        <v/>
      </c>
      <c r="AC37" s="39" t="str">
        <f>IF(AND('Mapa final'!$Y$17="Baja",'Mapa final'!$AA$17="Mayor"),CONCATENATE("R2C",'Mapa final'!$O$17),"")</f>
        <v/>
      </c>
      <c r="AD37" s="39" t="str">
        <f>IF(AND('Mapa final'!$Y$18="Baja",'Mapa final'!$AA$18="Mayor"),CONCATENATE("R2C",'Mapa final'!$O$18),"")</f>
        <v/>
      </c>
      <c r="AE37" s="39" t="str">
        <f>IF(AND('Mapa final'!$Y$19="Baja",'Mapa final'!$AA$19="Mayor"),CONCATENATE("R2C",'Mapa final'!$O$19),"")</f>
        <v/>
      </c>
      <c r="AF37" s="39" t="str">
        <f>IF(AND('Mapa final'!$Y$20="Baja",'Mapa final'!$AA$20="Mayor"),CONCATENATE("R2C",'Mapa final'!$O$20),"")</f>
        <v/>
      </c>
      <c r="AG37" s="40" t="str">
        <f>IF(AND('Mapa final'!$Y$21="Baja",'Mapa final'!$AA$21="Mayor"),CONCATENATE("R2C",'Mapa final'!$O$21),"")</f>
        <v/>
      </c>
      <c r="AH37" s="41" t="str">
        <f>IF(AND('Mapa final'!$Y$16="Baja",'Mapa final'!$AA$16="Catastrófico"),CONCATENATE("R2C",'Mapa final'!$O$16),"")</f>
        <v/>
      </c>
      <c r="AI37" s="42" t="str">
        <f>IF(AND('Mapa final'!$Y$17="Baja",'Mapa final'!$AA$17="Catastrófico"),CONCATENATE("R2C",'Mapa final'!$O$17),"")</f>
        <v/>
      </c>
      <c r="AJ37" s="42" t="str">
        <f>IF(AND('Mapa final'!$Y$18="Baja",'Mapa final'!$AA$18="Catastrófico"),CONCATENATE("R2C",'Mapa final'!$O$18),"")</f>
        <v/>
      </c>
      <c r="AK37" s="42" t="str">
        <f>IF(AND('Mapa final'!$Y$19="Baja",'Mapa final'!$AA$19="Catastrófico"),CONCATENATE("R2C",'Mapa final'!$O$19),"")</f>
        <v/>
      </c>
      <c r="AL37" s="42" t="str">
        <f>IF(AND('Mapa final'!$Y$20="Baja",'Mapa final'!$AA$20="Catastrófico"),CONCATENATE("R2C",'Mapa final'!$O$20),"")</f>
        <v/>
      </c>
      <c r="AM37" s="43" t="str">
        <f>IF(AND('Mapa final'!$Y$21="Baja",'Mapa final'!$AA$21="Catastrófico"),CONCATENATE("R2C",'Mapa final'!$O$21),"")</f>
        <v/>
      </c>
      <c r="AN37" s="70"/>
      <c r="AO37" s="433"/>
      <c r="AP37" s="434"/>
      <c r="AQ37" s="434"/>
      <c r="AR37" s="434"/>
      <c r="AS37" s="434"/>
      <c r="AT37" s="435"/>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80" ht="15" customHeight="1" x14ac:dyDescent="0.25">
      <c r="A38" s="70"/>
      <c r="B38" s="360"/>
      <c r="C38" s="360"/>
      <c r="D38" s="361"/>
      <c r="E38" s="401"/>
      <c r="F38" s="402"/>
      <c r="G38" s="402"/>
      <c r="H38" s="402"/>
      <c r="I38" s="418"/>
      <c r="J38" s="63" t="str">
        <f>IF(AND('Mapa final'!$Y$22="Baja",'Mapa final'!$AA$22="Leve"),CONCATENATE("R3C",'Mapa final'!$O$22),"")</f>
        <v/>
      </c>
      <c r="K38" s="64" t="str">
        <f>IF(AND('Mapa final'!$Y$23="Baja",'Mapa final'!$AA$23="Leve"),CONCATENATE("R3C",'Mapa final'!$O$23),"")</f>
        <v/>
      </c>
      <c r="L38" s="64" t="str">
        <f>IF(AND('Mapa final'!$Y$24="Baja",'Mapa final'!$AA$24="Leve"),CONCATENATE("R3C",'Mapa final'!$O$24),"")</f>
        <v/>
      </c>
      <c r="M38" s="64" t="str">
        <f>IF(AND('Mapa final'!$Y$25="Baja",'Mapa final'!$AA$25="Leve"),CONCATENATE("R3C",'Mapa final'!$O$25),"")</f>
        <v/>
      </c>
      <c r="N38" s="64" t="str">
        <f>IF(AND('Mapa final'!$Y$26="Baja",'Mapa final'!$AA$26="Leve"),CONCATENATE("R3C",'Mapa final'!$O$26),"")</f>
        <v/>
      </c>
      <c r="O38" s="65" t="str">
        <f>IF(AND('Mapa final'!$Y$27="Baja",'Mapa final'!$AA$27="Leve"),CONCATENATE("R3C",'Mapa final'!$O$27),"")</f>
        <v/>
      </c>
      <c r="P38" s="54" t="str">
        <f>IF(AND('Mapa final'!$Y$22="Baja",'Mapa final'!$AA$22="Menor"),CONCATENATE("R3C",'Mapa final'!$O$22),"")</f>
        <v/>
      </c>
      <c r="Q38" s="55" t="str">
        <f>IF(AND('Mapa final'!$Y$23="Baja",'Mapa final'!$AA$23="Menor"),CONCATENATE("R3C",'Mapa final'!$O$23),"")</f>
        <v/>
      </c>
      <c r="R38" s="55" t="str">
        <f>IF(AND('Mapa final'!$Y$24="Baja",'Mapa final'!$AA$24="Menor"),CONCATENATE("R3C",'Mapa final'!$O$24),"")</f>
        <v/>
      </c>
      <c r="S38" s="55" t="str">
        <f>IF(AND('Mapa final'!$Y$25="Baja",'Mapa final'!$AA$25="Menor"),CONCATENATE("R3C",'Mapa final'!$O$25),"")</f>
        <v/>
      </c>
      <c r="T38" s="55" t="str">
        <f>IF(AND('Mapa final'!$Y$26="Baja",'Mapa final'!$AA$26="Menor"),CONCATENATE("R3C",'Mapa final'!$O$26),"")</f>
        <v/>
      </c>
      <c r="U38" s="56" t="str">
        <f>IF(AND('Mapa final'!$Y$27="Baja",'Mapa final'!$AA$27="Menor"),CONCATENATE("R3C",'Mapa final'!$O$27),"")</f>
        <v/>
      </c>
      <c r="V38" s="54" t="str">
        <f>IF(AND('Mapa final'!$Y$22="Baja",'Mapa final'!$AA$22="Moderado"),CONCATENATE("R3C",'Mapa final'!$O$22),"")</f>
        <v/>
      </c>
      <c r="W38" s="55" t="str">
        <f>IF(AND('Mapa final'!$Y$23="Baja",'Mapa final'!$AA$23="Moderado"),CONCATENATE("R3C",'Mapa final'!$O$23),"")</f>
        <v/>
      </c>
      <c r="X38" s="55" t="str">
        <f>IF(AND('Mapa final'!$Y$24="Baja",'Mapa final'!$AA$24="Moderado"),CONCATENATE("R3C",'Mapa final'!$O$24),"")</f>
        <v/>
      </c>
      <c r="Y38" s="55" t="str">
        <f>IF(AND('Mapa final'!$Y$25="Baja",'Mapa final'!$AA$25="Moderado"),CONCATENATE("R3C",'Mapa final'!$O$25),"")</f>
        <v/>
      </c>
      <c r="Z38" s="55" t="str">
        <f>IF(AND('Mapa final'!$Y$26="Baja",'Mapa final'!$AA$26="Moderado"),CONCATENATE("R3C",'Mapa final'!$O$26),"")</f>
        <v/>
      </c>
      <c r="AA38" s="56" t="str">
        <f>IF(AND('Mapa final'!$Y$27="Baja",'Mapa final'!$AA$27="Moderado"),CONCATENATE("R3C",'Mapa final'!$O$27),"")</f>
        <v/>
      </c>
      <c r="AB38" s="38" t="str">
        <f>IF(AND('Mapa final'!$Y$22="Baja",'Mapa final'!$AA$22="Mayor"),CONCATENATE("R3C",'Mapa final'!$O$22),"")</f>
        <v/>
      </c>
      <c r="AC38" s="39" t="str">
        <f>IF(AND('Mapa final'!$Y$23="Baja",'Mapa final'!$AA$23="Mayor"),CONCATENATE("R3C",'Mapa final'!$O$23),"")</f>
        <v/>
      </c>
      <c r="AD38" s="39" t="str">
        <f>IF(AND('Mapa final'!$Y$24="Baja",'Mapa final'!$AA$24="Mayor"),CONCATENATE("R3C",'Mapa final'!$O$24),"")</f>
        <v/>
      </c>
      <c r="AE38" s="39" t="str">
        <f>IF(AND('Mapa final'!$Y$25="Baja",'Mapa final'!$AA$25="Mayor"),CONCATENATE("R3C",'Mapa final'!$O$25),"")</f>
        <v/>
      </c>
      <c r="AF38" s="39" t="str">
        <f>IF(AND('Mapa final'!$Y$26="Baja",'Mapa final'!$AA$26="Mayor"),CONCATENATE("R3C",'Mapa final'!$O$26),"")</f>
        <v/>
      </c>
      <c r="AG38" s="40" t="str">
        <f>IF(AND('Mapa final'!$Y$27="Baja",'Mapa final'!$AA$27="Mayor"),CONCATENATE("R3C",'Mapa final'!$O$27),"")</f>
        <v/>
      </c>
      <c r="AH38" s="41" t="str">
        <f>IF(AND('Mapa final'!$Y$22="Baja",'Mapa final'!$AA$22="Catastrófico"),CONCATENATE("R3C",'Mapa final'!$O$22),"")</f>
        <v/>
      </c>
      <c r="AI38" s="42" t="str">
        <f>IF(AND('Mapa final'!$Y$23="Baja",'Mapa final'!$AA$23="Catastrófico"),CONCATENATE("R3C",'Mapa final'!$O$23),"")</f>
        <v/>
      </c>
      <c r="AJ38" s="42" t="str">
        <f>IF(AND('Mapa final'!$Y$24="Baja",'Mapa final'!$AA$24="Catastrófico"),CONCATENATE("R3C",'Mapa final'!$O$24),"")</f>
        <v/>
      </c>
      <c r="AK38" s="42" t="str">
        <f>IF(AND('Mapa final'!$Y$25="Baja",'Mapa final'!$AA$25="Catastrófico"),CONCATENATE("R3C",'Mapa final'!$O$25),"")</f>
        <v/>
      </c>
      <c r="AL38" s="42" t="str">
        <f>IF(AND('Mapa final'!$Y$26="Baja",'Mapa final'!$AA$26="Catastrófico"),CONCATENATE("R3C",'Mapa final'!$O$26),"")</f>
        <v/>
      </c>
      <c r="AM38" s="43" t="str">
        <f>IF(AND('Mapa final'!$Y$27="Baja",'Mapa final'!$AA$27="Catastrófico"),CONCATENATE("R3C",'Mapa final'!$O$27),"")</f>
        <v/>
      </c>
      <c r="AN38" s="70"/>
      <c r="AO38" s="433"/>
      <c r="AP38" s="434"/>
      <c r="AQ38" s="434"/>
      <c r="AR38" s="434"/>
      <c r="AS38" s="434"/>
      <c r="AT38" s="435"/>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row>
    <row r="39" spans="1:80" ht="15" customHeight="1" x14ac:dyDescent="0.25">
      <c r="A39" s="70"/>
      <c r="B39" s="360"/>
      <c r="C39" s="360"/>
      <c r="D39" s="361"/>
      <c r="E39" s="401"/>
      <c r="F39" s="402"/>
      <c r="G39" s="402"/>
      <c r="H39" s="402"/>
      <c r="I39" s="418"/>
      <c r="J39" s="63" t="str">
        <f>IF(AND('Mapa final'!$Y$28="Baja",'Mapa final'!$AA$28="Leve"),CONCATENATE("R4C",'Mapa final'!$O$28),"")</f>
        <v/>
      </c>
      <c r="K39" s="64" t="str">
        <f>IF(AND('Mapa final'!$Y$29="Baja",'Mapa final'!$AA$29="Leve"),CONCATENATE("R4C",'Mapa final'!$O$29),"")</f>
        <v/>
      </c>
      <c r="L39" s="64" t="str">
        <f>IF(AND('Mapa final'!$Y$30="Baja",'Mapa final'!$AA$30="Leve"),CONCATENATE("R4C",'Mapa final'!$O$30),"")</f>
        <v/>
      </c>
      <c r="M39" s="64" t="str">
        <f>IF(AND('Mapa final'!$Y$31="Baja",'Mapa final'!$AA$31="Leve"),CONCATENATE("R4C",'Mapa final'!$O$31),"")</f>
        <v/>
      </c>
      <c r="N39" s="64" t="str">
        <f>IF(AND('Mapa final'!$Y$32="Baja",'Mapa final'!$AA$32="Leve"),CONCATENATE("R4C",'Mapa final'!$O$32),"")</f>
        <v/>
      </c>
      <c r="O39" s="65" t="str">
        <f>IF(AND('Mapa final'!$Y$33="Baja",'Mapa final'!$AA$33="Leve"),CONCATENATE("R4C",'Mapa final'!$O$33),"")</f>
        <v/>
      </c>
      <c r="P39" s="54" t="str">
        <f>IF(AND('Mapa final'!$Y$28="Baja",'Mapa final'!$AA$28="Menor"),CONCATENATE("R4C",'Mapa final'!$O$28),"")</f>
        <v/>
      </c>
      <c r="Q39" s="55" t="str">
        <f>IF(AND('Mapa final'!$Y$29="Baja",'Mapa final'!$AA$29="Menor"),CONCATENATE("R4C",'Mapa final'!$O$29),"")</f>
        <v/>
      </c>
      <c r="R39" s="55" t="str">
        <f>IF(AND('Mapa final'!$Y$30="Baja",'Mapa final'!$AA$30="Menor"),CONCATENATE("R4C",'Mapa final'!$O$30),"")</f>
        <v/>
      </c>
      <c r="S39" s="55" t="str">
        <f>IF(AND('Mapa final'!$Y$31="Baja",'Mapa final'!$AA$31="Menor"),CONCATENATE("R4C",'Mapa final'!$O$31),"")</f>
        <v/>
      </c>
      <c r="T39" s="55" t="str">
        <f>IF(AND('Mapa final'!$Y$32="Baja",'Mapa final'!$AA$32="Menor"),CONCATENATE("R4C",'Mapa final'!$O$32),"")</f>
        <v/>
      </c>
      <c r="U39" s="56" t="str">
        <f>IF(AND('Mapa final'!$Y$33="Baja",'Mapa final'!$AA$33="Menor"),CONCATENATE("R4C",'Mapa final'!$O$33),"")</f>
        <v/>
      </c>
      <c r="V39" s="54" t="str">
        <f>IF(AND('Mapa final'!$Y$28="Baja",'Mapa final'!$AA$28="Moderado"),CONCATENATE("R4C",'Mapa final'!$O$28),"")</f>
        <v/>
      </c>
      <c r="W39" s="55" t="str">
        <f>IF(AND('Mapa final'!$Y$29="Baja",'Mapa final'!$AA$29="Moderado"),CONCATENATE("R4C",'Mapa final'!$O$29),"")</f>
        <v/>
      </c>
      <c r="X39" s="55" t="str">
        <f>IF(AND('Mapa final'!$Y$30="Baja",'Mapa final'!$AA$30="Moderado"),CONCATENATE("R4C",'Mapa final'!$O$30),"")</f>
        <v/>
      </c>
      <c r="Y39" s="55" t="str">
        <f>IF(AND('Mapa final'!$Y$31="Baja",'Mapa final'!$AA$31="Moderado"),CONCATENATE("R4C",'Mapa final'!$O$31),"")</f>
        <v/>
      </c>
      <c r="Z39" s="55" t="str">
        <f>IF(AND('Mapa final'!$Y$32="Baja",'Mapa final'!$AA$32="Moderado"),CONCATENATE("R4C",'Mapa final'!$O$32),"")</f>
        <v/>
      </c>
      <c r="AA39" s="56" t="str">
        <f>IF(AND('Mapa final'!$Y$33="Baja",'Mapa final'!$AA$33="Moderado"),CONCATENATE("R4C",'Mapa final'!$O$33),"")</f>
        <v/>
      </c>
      <c r="AB39" s="38" t="str">
        <f>IF(AND('Mapa final'!$Y$28="Baja",'Mapa final'!$AA$28="Mayor"),CONCATENATE("R4C",'Mapa final'!$O$28),"")</f>
        <v/>
      </c>
      <c r="AC39" s="39" t="str">
        <f>IF(AND('Mapa final'!$Y$29="Baja",'Mapa final'!$AA$29="Mayor"),CONCATENATE("R4C",'Mapa final'!$O$29),"")</f>
        <v/>
      </c>
      <c r="AD39" s="39" t="str">
        <f>IF(AND('Mapa final'!$Y$30="Baja",'Mapa final'!$AA$30="Mayor"),CONCATENATE("R4C",'Mapa final'!$O$30),"")</f>
        <v/>
      </c>
      <c r="AE39" s="39" t="str">
        <f>IF(AND('Mapa final'!$Y$31="Baja",'Mapa final'!$AA$31="Mayor"),CONCATENATE("R4C",'Mapa final'!$O$31),"")</f>
        <v/>
      </c>
      <c r="AF39" s="39" t="str">
        <f>IF(AND('Mapa final'!$Y$32="Baja",'Mapa final'!$AA$32="Mayor"),CONCATENATE("R4C",'Mapa final'!$O$32),"")</f>
        <v/>
      </c>
      <c r="AG39" s="40" t="str">
        <f>IF(AND('Mapa final'!$Y$33="Baja",'Mapa final'!$AA$33="Mayor"),CONCATENATE("R4C",'Mapa final'!$O$33),"")</f>
        <v/>
      </c>
      <c r="AH39" s="41" t="str">
        <f>IF(AND('Mapa final'!$Y$28="Baja",'Mapa final'!$AA$28="Catastrófico"),CONCATENATE("R4C",'Mapa final'!$O$28),"")</f>
        <v/>
      </c>
      <c r="AI39" s="42" t="str">
        <f>IF(AND('Mapa final'!$Y$29="Baja",'Mapa final'!$AA$29="Catastrófico"),CONCATENATE("R4C",'Mapa final'!$O$29),"")</f>
        <v/>
      </c>
      <c r="AJ39" s="42" t="str">
        <f>IF(AND('Mapa final'!$Y$30="Baja",'Mapa final'!$AA$30="Catastrófico"),CONCATENATE("R4C",'Mapa final'!$O$30),"")</f>
        <v/>
      </c>
      <c r="AK39" s="42" t="str">
        <f>IF(AND('Mapa final'!$Y$31="Baja",'Mapa final'!$AA$31="Catastrófico"),CONCATENATE("R4C",'Mapa final'!$O$31),"")</f>
        <v/>
      </c>
      <c r="AL39" s="42" t="str">
        <f>IF(AND('Mapa final'!$Y$32="Baja",'Mapa final'!$AA$32="Catastrófico"),CONCATENATE("R4C",'Mapa final'!$O$32),"")</f>
        <v/>
      </c>
      <c r="AM39" s="43" t="str">
        <f>IF(AND('Mapa final'!$Y$33="Baja",'Mapa final'!$AA$33="Catastrófico"),CONCATENATE("R4C",'Mapa final'!$O$33),"")</f>
        <v/>
      </c>
      <c r="AN39" s="70"/>
      <c r="AO39" s="433"/>
      <c r="AP39" s="434"/>
      <c r="AQ39" s="434"/>
      <c r="AR39" s="434"/>
      <c r="AS39" s="434"/>
      <c r="AT39" s="435"/>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row>
    <row r="40" spans="1:80" ht="15" customHeight="1" x14ac:dyDescent="0.25">
      <c r="A40" s="70"/>
      <c r="B40" s="360"/>
      <c r="C40" s="360"/>
      <c r="D40" s="361"/>
      <c r="E40" s="401"/>
      <c r="F40" s="402"/>
      <c r="G40" s="402"/>
      <c r="H40" s="402"/>
      <c r="I40" s="418"/>
      <c r="J40" s="63" t="str">
        <f>IF(AND('Mapa final'!$Y$34="Baja",'Mapa final'!$AA$34="Leve"),CONCATENATE("R5C",'Mapa final'!$O$34),"")</f>
        <v/>
      </c>
      <c r="K40" s="64" t="str">
        <f>IF(AND('Mapa final'!$Y$35="Baja",'Mapa final'!$AA$35="Leve"),CONCATENATE("R5C",'Mapa final'!$O$35),"")</f>
        <v/>
      </c>
      <c r="L40" s="64" t="str">
        <f>IF(AND('Mapa final'!$Y$36="Baja",'Mapa final'!$AA$36="Leve"),CONCATENATE("R5C",'Mapa final'!$O$36),"")</f>
        <v/>
      </c>
      <c r="M40" s="64" t="str">
        <f>IF(AND('Mapa final'!$Y$37="Baja",'Mapa final'!$AA$37="Leve"),CONCATENATE("R5C",'Mapa final'!$O$37),"")</f>
        <v/>
      </c>
      <c r="N40" s="64" t="str">
        <f>IF(AND('Mapa final'!$Y$38="Baja",'Mapa final'!$AA$38="Leve"),CONCATENATE("R5C",'Mapa final'!$O$38),"")</f>
        <v/>
      </c>
      <c r="O40" s="65" t="str">
        <f>IF(AND('Mapa final'!$Y$39="Baja",'Mapa final'!$AA$39="Leve"),CONCATENATE("R5C",'Mapa final'!$O$39),"")</f>
        <v/>
      </c>
      <c r="P40" s="54" t="str">
        <f>IF(AND('Mapa final'!$Y$34="Baja",'Mapa final'!$AA$34="Menor"),CONCATENATE("R5C",'Mapa final'!$O$34),"")</f>
        <v/>
      </c>
      <c r="Q40" s="55" t="str">
        <f>IF(AND('Mapa final'!$Y$35="Baja",'Mapa final'!$AA$35="Menor"),CONCATENATE("R5C",'Mapa final'!$O$35),"")</f>
        <v/>
      </c>
      <c r="R40" s="55" t="str">
        <f>IF(AND('Mapa final'!$Y$36="Baja",'Mapa final'!$AA$36="Menor"),CONCATENATE("R5C",'Mapa final'!$O$36),"")</f>
        <v/>
      </c>
      <c r="S40" s="55" t="str">
        <f>IF(AND('Mapa final'!$Y$37="Baja",'Mapa final'!$AA$37="Menor"),CONCATENATE("R5C",'Mapa final'!$O$37),"")</f>
        <v/>
      </c>
      <c r="T40" s="55" t="str">
        <f>IF(AND('Mapa final'!$Y$38="Baja",'Mapa final'!$AA$38="Menor"),CONCATENATE("R5C",'Mapa final'!$O$38),"")</f>
        <v/>
      </c>
      <c r="U40" s="56" t="str">
        <f>IF(AND('Mapa final'!$Y$39="Baja",'Mapa final'!$AA$39="Menor"),CONCATENATE("R5C",'Mapa final'!$O$39),"")</f>
        <v/>
      </c>
      <c r="V40" s="54" t="str">
        <f>IF(AND('Mapa final'!$Y$34="Baja",'Mapa final'!$AA$34="Moderado"),CONCATENATE("R5C",'Mapa final'!$O$34),"")</f>
        <v/>
      </c>
      <c r="W40" s="55" t="str">
        <f>IF(AND('Mapa final'!$Y$35="Baja",'Mapa final'!$AA$35="Moderado"),CONCATENATE("R5C",'Mapa final'!$O$35),"")</f>
        <v/>
      </c>
      <c r="X40" s="55" t="str">
        <f>IF(AND('Mapa final'!$Y$36="Baja",'Mapa final'!$AA$36="Moderado"),CONCATENATE("R5C",'Mapa final'!$O$36),"")</f>
        <v/>
      </c>
      <c r="Y40" s="55" t="str">
        <f>IF(AND('Mapa final'!$Y$37="Baja",'Mapa final'!$AA$37="Moderado"),CONCATENATE("R5C",'Mapa final'!$O$37),"")</f>
        <v/>
      </c>
      <c r="Z40" s="55" t="str">
        <f>IF(AND('Mapa final'!$Y$38="Baja",'Mapa final'!$AA$38="Moderado"),CONCATENATE("R5C",'Mapa final'!$O$38),"")</f>
        <v/>
      </c>
      <c r="AA40" s="56" t="str">
        <f>IF(AND('Mapa final'!$Y$39="Baja",'Mapa final'!$AA$39="Moderado"),CONCATENATE("R5C",'Mapa final'!$O$39),"")</f>
        <v/>
      </c>
      <c r="AB40" s="38" t="str">
        <f>IF(AND('Mapa final'!$Y$34="Baja",'Mapa final'!$AA$34="Mayor"),CONCATENATE("R5C",'Mapa final'!$O$34),"")</f>
        <v/>
      </c>
      <c r="AC40" s="39" t="str">
        <f>IF(AND('Mapa final'!$Y$35="Baja",'Mapa final'!$AA$35="Mayor"),CONCATENATE("R5C",'Mapa final'!$O$35),"")</f>
        <v/>
      </c>
      <c r="AD40" s="44" t="str">
        <f>IF(AND('Mapa final'!$Y$36="Baja",'Mapa final'!$AA$36="Mayor"),CONCATENATE("R5C",'Mapa final'!$O$36),"")</f>
        <v/>
      </c>
      <c r="AE40" s="44" t="str">
        <f>IF(AND('Mapa final'!$Y$37="Baja",'Mapa final'!$AA$37="Mayor"),CONCATENATE("R5C",'Mapa final'!$O$37),"")</f>
        <v/>
      </c>
      <c r="AF40" s="44" t="str">
        <f>IF(AND('Mapa final'!$Y$38="Baja",'Mapa final'!$AA$38="Mayor"),CONCATENATE("R5C",'Mapa final'!$O$38),"")</f>
        <v/>
      </c>
      <c r="AG40" s="40" t="str">
        <f>IF(AND('Mapa final'!$Y$39="Baja",'Mapa final'!$AA$39="Mayor"),CONCATENATE("R5C",'Mapa final'!$O$39),"")</f>
        <v/>
      </c>
      <c r="AH40" s="41" t="str">
        <f>IF(AND('Mapa final'!$Y$34="Baja",'Mapa final'!$AA$34="Catastrófico"),CONCATENATE("R5C",'Mapa final'!$O$34),"")</f>
        <v/>
      </c>
      <c r="AI40" s="42" t="str">
        <f>IF(AND('Mapa final'!$Y$35="Baja",'Mapa final'!$AA$35="Catastrófico"),CONCATENATE("R5C",'Mapa final'!$O$35),"")</f>
        <v/>
      </c>
      <c r="AJ40" s="42" t="str">
        <f>IF(AND('Mapa final'!$Y$36="Baja",'Mapa final'!$AA$36="Catastrófico"),CONCATENATE("R5C",'Mapa final'!$O$36),"")</f>
        <v/>
      </c>
      <c r="AK40" s="42" t="str">
        <f>IF(AND('Mapa final'!$Y$37="Baja",'Mapa final'!$AA$37="Catastrófico"),CONCATENATE("R5C",'Mapa final'!$O$37),"")</f>
        <v/>
      </c>
      <c r="AL40" s="42" t="str">
        <f>IF(AND('Mapa final'!$Y$38="Baja",'Mapa final'!$AA$38="Catastrófico"),CONCATENATE("R5C",'Mapa final'!$O$38),"")</f>
        <v/>
      </c>
      <c r="AM40" s="43" t="str">
        <f>IF(AND('Mapa final'!$Y$39="Baja",'Mapa final'!$AA$39="Catastrófico"),CONCATENATE("R5C",'Mapa final'!$O$39),"")</f>
        <v/>
      </c>
      <c r="AN40" s="70"/>
      <c r="AO40" s="433"/>
      <c r="AP40" s="434"/>
      <c r="AQ40" s="434"/>
      <c r="AR40" s="434"/>
      <c r="AS40" s="434"/>
      <c r="AT40" s="435"/>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row>
    <row r="41" spans="1:80" ht="15" customHeight="1" x14ac:dyDescent="0.25">
      <c r="A41" s="70"/>
      <c r="B41" s="360"/>
      <c r="C41" s="360"/>
      <c r="D41" s="361"/>
      <c r="E41" s="401"/>
      <c r="F41" s="402"/>
      <c r="G41" s="402"/>
      <c r="H41" s="402"/>
      <c r="I41" s="418"/>
      <c r="J41" s="63" t="str">
        <f>IF(AND('Mapa final'!$Y$40="Baja",'Mapa final'!$AA$40="Leve"),CONCATENATE("R6C",'Mapa final'!$O$40),"")</f>
        <v/>
      </c>
      <c r="K41" s="64" t="str">
        <f>IF(AND('Mapa final'!$Y$41="Baja",'Mapa final'!$AA$41="Leve"),CONCATENATE("R6C",'Mapa final'!$O$41),"")</f>
        <v/>
      </c>
      <c r="L41" s="64" t="str">
        <f>IF(AND('Mapa final'!$Y$42="Baja",'Mapa final'!$AA$42="Leve"),CONCATENATE("R6C",'Mapa final'!$O$42),"")</f>
        <v/>
      </c>
      <c r="M41" s="64" t="str">
        <f>IF(AND('Mapa final'!$Y$43="Baja",'Mapa final'!$AA$43="Leve"),CONCATENATE("R6C",'Mapa final'!$O$43),"")</f>
        <v/>
      </c>
      <c r="N41" s="64" t="str">
        <f>IF(AND('Mapa final'!$Y$44="Baja",'Mapa final'!$AA$44="Leve"),CONCATENATE("R6C",'Mapa final'!$O$44),"")</f>
        <v/>
      </c>
      <c r="O41" s="65" t="str">
        <f>IF(AND('Mapa final'!$Y$45="Baja",'Mapa final'!$AA$45="Leve"),CONCATENATE("R6C",'Mapa final'!$O$45),"")</f>
        <v/>
      </c>
      <c r="P41" s="54" t="str">
        <f>IF(AND('Mapa final'!$Y$40="Baja",'Mapa final'!$AA$40="Menor"),CONCATENATE("R6C",'Mapa final'!$O$40),"")</f>
        <v/>
      </c>
      <c r="Q41" s="55" t="str">
        <f>IF(AND('Mapa final'!$Y$41="Baja",'Mapa final'!$AA$41="Menor"),CONCATENATE("R6C",'Mapa final'!$O$41),"")</f>
        <v/>
      </c>
      <c r="R41" s="55" t="str">
        <f>IF(AND('Mapa final'!$Y$42="Baja",'Mapa final'!$AA$42="Menor"),CONCATENATE("R6C",'Mapa final'!$O$42),"")</f>
        <v/>
      </c>
      <c r="S41" s="55" t="str">
        <f>IF(AND('Mapa final'!$Y$43="Baja",'Mapa final'!$AA$43="Menor"),CONCATENATE("R6C",'Mapa final'!$O$43),"")</f>
        <v/>
      </c>
      <c r="T41" s="55" t="str">
        <f>IF(AND('Mapa final'!$Y$44="Baja",'Mapa final'!$AA$44="Menor"),CONCATENATE("R6C",'Mapa final'!$O$44),"")</f>
        <v/>
      </c>
      <c r="U41" s="56" t="str">
        <f>IF(AND('Mapa final'!$Y$45="Baja",'Mapa final'!$AA$45="Menor"),CONCATENATE("R6C",'Mapa final'!$O$45),"")</f>
        <v/>
      </c>
      <c r="V41" s="54" t="str">
        <f>IF(AND('Mapa final'!$Y$40="Baja",'Mapa final'!$AA$40="Moderado"),CONCATENATE("R6C",'Mapa final'!$O$40),"")</f>
        <v/>
      </c>
      <c r="W41" s="55" t="str">
        <f>IF(AND('Mapa final'!$Y$41="Baja",'Mapa final'!$AA$41="Moderado"),CONCATENATE("R6C",'Mapa final'!$O$41),"")</f>
        <v/>
      </c>
      <c r="X41" s="55" t="str">
        <f>IF(AND('Mapa final'!$Y$42="Baja",'Mapa final'!$AA$42="Moderado"),CONCATENATE("R6C",'Mapa final'!$O$42),"")</f>
        <v/>
      </c>
      <c r="Y41" s="55" t="str">
        <f>IF(AND('Mapa final'!$Y$43="Baja",'Mapa final'!$AA$43="Moderado"),CONCATENATE("R6C",'Mapa final'!$O$43),"")</f>
        <v/>
      </c>
      <c r="Z41" s="55" t="str">
        <f>IF(AND('Mapa final'!$Y$44="Baja",'Mapa final'!$AA$44="Moderado"),CONCATENATE("R6C",'Mapa final'!$O$44),"")</f>
        <v/>
      </c>
      <c r="AA41" s="56" t="str">
        <f>IF(AND('Mapa final'!$Y$45="Baja",'Mapa final'!$AA$45="Moderado"),CONCATENATE("R6C",'Mapa final'!$O$45),"")</f>
        <v/>
      </c>
      <c r="AB41" s="38" t="str">
        <f>IF(AND('Mapa final'!$Y$40="Baja",'Mapa final'!$AA$40="Mayor"),CONCATENATE("R6C",'Mapa final'!$O$40),"")</f>
        <v/>
      </c>
      <c r="AC41" s="39" t="str">
        <f>IF(AND('Mapa final'!$Y$41="Baja",'Mapa final'!$AA$41="Mayor"),CONCATENATE("R6C",'Mapa final'!$O$41),"")</f>
        <v/>
      </c>
      <c r="AD41" s="44" t="str">
        <f>IF(AND('Mapa final'!$Y$42="Baja",'Mapa final'!$AA$42="Mayor"),CONCATENATE("R6C",'Mapa final'!$O$42),"")</f>
        <v/>
      </c>
      <c r="AE41" s="44" t="str">
        <f>IF(AND('Mapa final'!$Y$43="Baja",'Mapa final'!$AA$43="Mayor"),CONCATENATE("R6C",'Mapa final'!$O$43),"")</f>
        <v/>
      </c>
      <c r="AF41" s="44" t="str">
        <f>IF(AND('Mapa final'!$Y$44="Baja",'Mapa final'!$AA$44="Mayor"),CONCATENATE("R6C",'Mapa final'!$O$44),"")</f>
        <v/>
      </c>
      <c r="AG41" s="40" t="str">
        <f>IF(AND('Mapa final'!$Y$45="Baja",'Mapa final'!$AA$45="Mayor"),CONCATENATE("R6C",'Mapa final'!$O$45),"")</f>
        <v/>
      </c>
      <c r="AH41" s="41" t="str">
        <f>IF(AND('Mapa final'!$Y$40="Baja",'Mapa final'!$AA$40="Catastrófico"),CONCATENATE("R6C",'Mapa final'!$O$40),"")</f>
        <v/>
      </c>
      <c r="AI41" s="42" t="str">
        <f>IF(AND('Mapa final'!$Y$41="Baja",'Mapa final'!$AA$41="Catastrófico"),CONCATENATE("R6C",'Mapa final'!$O$41),"")</f>
        <v/>
      </c>
      <c r="AJ41" s="42" t="str">
        <f>IF(AND('Mapa final'!$Y$42="Baja",'Mapa final'!$AA$42="Catastrófico"),CONCATENATE("R6C",'Mapa final'!$O$42),"")</f>
        <v/>
      </c>
      <c r="AK41" s="42" t="str">
        <f>IF(AND('Mapa final'!$Y$43="Baja",'Mapa final'!$AA$43="Catastrófico"),CONCATENATE("R6C",'Mapa final'!$O$43),"")</f>
        <v/>
      </c>
      <c r="AL41" s="42" t="str">
        <f>IF(AND('Mapa final'!$Y$44="Baja",'Mapa final'!$AA$44="Catastrófico"),CONCATENATE("R6C",'Mapa final'!$O$44),"")</f>
        <v/>
      </c>
      <c r="AM41" s="43" t="str">
        <f>IF(AND('Mapa final'!$Y$45="Baja",'Mapa final'!$AA$45="Catastrófico"),CONCATENATE("R6C",'Mapa final'!$O$45),"")</f>
        <v/>
      </c>
      <c r="AN41" s="70"/>
      <c r="AO41" s="433"/>
      <c r="AP41" s="434"/>
      <c r="AQ41" s="434"/>
      <c r="AR41" s="434"/>
      <c r="AS41" s="434"/>
      <c r="AT41" s="435"/>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row>
    <row r="42" spans="1:80" ht="15" customHeight="1" x14ac:dyDescent="0.25">
      <c r="A42" s="70"/>
      <c r="B42" s="360"/>
      <c r="C42" s="360"/>
      <c r="D42" s="361"/>
      <c r="E42" s="401"/>
      <c r="F42" s="402"/>
      <c r="G42" s="402"/>
      <c r="H42" s="402"/>
      <c r="I42" s="418"/>
      <c r="J42" s="63" t="str">
        <f>IF(AND('Mapa final'!$Y$46="Baja",'Mapa final'!$AA$46="Leve"),CONCATENATE("R7C",'Mapa final'!$O$46),"")</f>
        <v/>
      </c>
      <c r="K42" s="64" t="str">
        <f>IF(AND('Mapa final'!$Y$47="Baja",'Mapa final'!$AA$47="Leve"),CONCATENATE("R7C",'Mapa final'!$O$47),"")</f>
        <v/>
      </c>
      <c r="L42" s="64" t="str">
        <f>IF(AND('Mapa final'!$Y$48="Baja",'Mapa final'!$AA$48="Leve"),CONCATENATE("R7C",'Mapa final'!$O$48),"")</f>
        <v/>
      </c>
      <c r="M42" s="64" t="str">
        <f>IF(AND('Mapa final'!$Y$49="Baja",'Mapa final'!$AA$49="Leve"),CONCATENATE("R7C",'Mapa final'!$O$49),"")</f>
        <v/>
      </c>
      <c r="N42" s="64" t="str">
        <f>IF(AND('Mapa final'!$Y$50="Baja",'Mapa final'!$AA$50="Leve"),CONCATENATE("R7C",'Mapa final'!$O$50),"")</f>
        <v/>
      </c>
      <c r="O42" s="65" t="str">
        <f>IF(AND('Mapa final'!$Y$51="Baja",'Mapa final'!$AA$51="Leve"),CONCATENATE("R7C",'Mapa final'!$O$51),"")</f>
        <v/>
      </c>
      <c r="P42" s="54" t="str">
        <f>IF(AND('Mapa final'!$Y$46="Baja",'Mapa final'!$AA$46="Menor"),CONCATENATE("R7C",'Mapa final'!$O$46),"")</f>
        <v/>
      </c>
      <c r="Q42" s="55" t="str">
        <f>IF(AND('Mapa final'!$Y$47="Baja",'Mapa final'!$AA$47="Menor"),CONCATENATE("R7C",'Mapa final'!$O$47),"")</f>
        <v/>
      </c>
      <c r="R42" s="55" t="str">
        <f>IF(AND('Mapa final'!$Y$48="Baja",'Mapa final'!$AA$48="Menor"),CONCATENATE("R7C",'Mapa final'!$O$48),"")</f>
        <v/>
      </c>
      <c r="S42" s="55" t="str">
        <f>IF(AND('Mapa final'!$Y$49="Baja",'Mapa final'!$AA$49="Menor"),CONCATENATE("R7C",'Mapa final'!$O$49),"")</f>
        <v/>
      </c>
      <c r="T42" s="55" t="str">
        <f>IF(AND('Mapa final'!$Y$50="Baja",'Mapa final'!$AA$50="Menor"),CONCATENATE("R7C",'Mapa final'!$O$50),"")</f>
        <v/>
      </c>
      <c r="U42" s="56" t="str">
        <f>IF(AND('Mapa final'!$Y$51="Baja",'Mapa final'!$AA$51="Menor"),CONCATENATE("R7C",'Mapa final'!$O$51),"")</f>
        <v/>
      </c>
      <c r="V42" s="54" t="str">
        <f>IF(AND('Mapa final'!$Y$46="Baja",'Mapa final'!$AA$46="Moderado"),CONCATENATE("R7C",'Mapa final'!$O$46),"")</f>
        <v/>
      </c>
      <c r="W42" s="55" t="str">
        <f>IF(AND('Mapa final'!$Y$47="Baja",'Mapa final'!$AA$47="Moderado"),CONCATENATE("R7C",'Mapa final'!$O$47),"")</f>
        <v/>
      </c>
      <c r="X42" s="55" t="str">
        <f>IF(AND('Mapa final'!$Y$48="Baja",'Mapa final'!$AA$48="Moderado"),CONCATENATE("R7C",'Mapa final'!$O$48),"")</f>
        <v/>
      </c>
      <c r="Y42" s="55" t="str">
        <f>IF(AND('Mapa final'!$Y$49="Baja",'Mapa final'!$AA$49="Moderado"),CONCATENATE("R7C",'Mapa final'!$O$49),"")</f>
        <v/>
      </c>
      <c r="Z42" s="55" t="str">
        <f>IF(AND('Mapa final'!$Y$50="Baja",'Mapa final'!$AA$50="Moderado"),CONCATENATE("R7C",'Mapa final'!$O$50),"")</f>
        <v/>
      </c>
      <c r="AA42" s="56" t="str">
        <f>IF(AND('Mapa final'!$Y$51="Baja",'Mapa final'!$AA$51="Moderado"),CONCATENATE("R7C",'Mapa final'!$O$51),"")</f>
        <v/>
      </c>
      <c r="AB42" s="38" t="str">
        <f>IF(AND('Mapa final'!$Y$46="Baja",'Mapa final'!$AA$46="Mayor"),CONCATENATE("R7C",'Mapa final'!$O$46),"")</f>
        <v/>
      </c>
      <c r="AC42" s="39" t="str">
        <f>IF(AND('Mapa final'!$Y$47="Baja",'Mapa final'!$AA$47="Mayor"),CONCATENATE("R7C",'Mapa final'!$O$47),"")</f>
        <v/>
      </c>
      <c r="AD42" s="44" t="str">
        <f>IF(AND('Mapa final'!$Y$48="Baja",'Mapa final'!$AA$48="Mayor"),CONCATENATE("R7C",'Mapa final'!$O$48),"")</f>
        <v/>
      </c>
      <c r="AE42" s="44" t="str">
        <f>IF(AND('Mapa final'!$Y$49="Baja",'Mapa final'!$AA$49="Mayor"),CONCATENATE("R7C",'Mapa final'!$O$49),"")</f>
        <v/>
      </c>
      <c r="AF42" s="44" t="str">
        <f>IF(AND('Mapa final'!$Y$50="Baja",'Mapa final'!$AA$50="Mayor"),CONCATENATE("R7C",'Mapa final'!$O$50),"")</f>
        <v/>
      </c>
      <c r="AG42" s="40" t="str">
        <f>IF(AND('Mapa final'!$Y$51="Baja",'Mapa final'!$AA$51="Mayor"),CONCATENATE("R7C",'Mapa final'!$O$51),"")</f>
        <v/>
      </c>
      <c r="AH42" s="41" t="str">
        <f>IF(AND('Mapa final'!$Y$46="Baja",'Mapa final'!$AA$46="Catastrófico"),CONCATENATE("R7C",'Mapa final'!$O$46),"")</f>
        <v/>
      </c>
      <c r="AI42" s="42" t="str">
        <f>IF(AND('Mapa final'!$Y$47="Baja",'Mapa final'!$AA$47="Catastrófico"),CONCATENATE("R7C",'Mapa final'!$O$47),"")</f>
        <v/>
      </c>
      <c r="AJ42" s="42" t="str">
        <f>IF(AND('Mapa final'!$Y$48="Baja",'Mapa final'!$AA$48="Catastrófico"),CONCATENATE("R7C",'Mapa final'!$O$48),"")</f>
        <v/>
      </c>
      <c r="AK42" s="42" t="str">
        <f>IF(AND('Mapa final'!$Y$49="Baja",'Mapa final'!$AA$49="Catastrófico"),CONCATENATE("R7C",'Mapa final'!$O$49),"")</f>
        <v/>
      </c>
      <c r="AL42" s="42" t="str">
        <f>IF(AND('Mapa final'!$Y$50="Baja",'Mapa final'!$AA$50="Catastrófico"),CONCATENATE("R7C",'Mapa final'!$O$50),"")</f>
        <v/>
      </c>
      <c r="AM42" s="43" t="str">
        <f>IF(AND('Mapa final'!$Y$51="Baja",'Mapa final'!$AA$51="Catastrófico"),CONCATENATE("R7C",'Mapa final'!$O$51),"")</f>
        <v/>
      </c>
      <c r="AN42" s="70"/>
      <c r="AO42" s="433"/>
      <c r="AP42" s="434"/>
      <c r="AQ42" s="434"/>
      <c r="AR42" s="434"/>
      <c r="AS42" s="434"/>
      <c r="AT42" s="435"/>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row>
    <row r="43" spans="1:80" ht="15" customHeight="1" x14ac:dyDescent="0.25">
      <c r="A43" s="70"/>
      <c r="B43" s="360"/>
      <c r="C43" s="360"/>
      <c r="D43" s="361"/>
      <c r="E43" s="401"/>
      <c r="F43" s="402"/>
      <c r="G43" s="402"/>
      <c r="H43" s="402"/>
      <c r="I43" s="418"/>
      <c r="J43" s="63" t="str">
        <f>IF(AND('Mapa final'!$Y$52="Baja",'Mapa final'!$AA$52="Leve"),CONCATENATE("R8C",'Mapa final'!$O$52),"")</f>
        <v/>
      </c>
      <c r="K43" s="64" t="str">
        <f>IF(AND('Mapa final'!$Y$53="Baja",'Mapa final'!$AA$53="Leve"),CONCATENATE("R8C",'Mapa final'!$O$53),"")</f>
        <v/>
      </c>
      <c r="L43" s="64" t="str">
        <f>IF(AND('Mapa final'!$Y$54="Baja",'Mapa final'!$AA$54="Leve"),CONCATENATE("R8C",'Mapa final'!$O$54),"")</f>
        <v/>
      </c>
      <c r="M43" s="64" t="str">
        <f>IF(AND('Mapa final'!$Y$55="Baja",'Mapa final'!$AA$55="Leve"),CONCATENATE("R8C",'Mapa final'!$O$55),"")</f>
        <v/>
      </c>
      <c r="N43" s="64" t="str">
        <f>IF(AND('Mapa final'!$Y$56="Baja",'Mapa final'!$AA$56="Leve"),CONCATENATE("R8C",'Mapa final'!$O$56),"")</f>
        <v/>
      </c>
      <c r="O43" s="65" t="str">
        <f>IF(AND('Mapa final'!$Y$57="Baja",'Mapa final'!$AA$57="Leve"),CONCATENATE("R8C",'Mapa final'!$O$57),"")</f>
        <v/>
      </c>
      <c r="P43" s="54" t="str">
        <f>IF(AND('Mapa final'!$Y$52="Baja",'Mapa final'!$AA$52="Menor"),CONCATENATE("R8C",'Mapa final'!$O$52),"")</f>
        <v/>
      </c>
      <c r="Q43" s="55" t="str">
        <f>IF(AND('Mapa final'!$Y$53="Baja",'Mapa final'!$AA$53="Menor"),CONCATENATE("R8C",'Mapa final'!$O$53),"")</f>
        <v/>
      </c>
      <c r="R43" s="55" t="str">
        <f>IF(AND('Mapa final'!$Y$54="Baja",'Mapa final'!$AA$54="Menor"),CONCATENATE("R8C",'Mapa final'!$O$54),"")</f>
        <v/>
      </c>
      <c r="S43" s="55" t="str">
        <f>IF(AND('Mapa final'!$Y$55="Baja",'Mapa final'!$AA$55="Menor"),CONCATENATE("R8C",'Mapa final'!$O$55),"")</f>
        <v/>
      </c>
      <c r="T43" s="55" t="str">
        <f>IF(AND('Mapa final'!$Y$56="Baja",'Mapa final'!$AA$56="Menor"),CONCATENATE("R8C",'Mapa final'!$O$56),"")</f>
        <v/>
      </c>
      <c r="U43" s="56" t="str">
        <f>IF(AND('Mapa final'!$Y$57="Baja",'Mapa final'!$AA$57="Menor"),CONCATENATE("R8C",'Mapa final'!$O$57),"")</f>
        <v/>
      </c>
      <c r="V43" s="54" t="str">
        <f>IF(AND('Mapa final'!$Y$52="Baja",'Mapa final'!$AA$52="Moderado"),CONCATENATE("R8C",'Mapa final'!$O$52),"")</f>
        <v/>
      </c>
      <c r="W43" s="55" t="str">
        <f>IF(AND('Mapa final'!$Y$53="Baja",'Mapa final'!$AA$53="Moderado"),CONCATENATE("R8C",'Mapa final'!$O$53),"")</f>
        <v/>
      </c>
      <c r="X43" s="55" t="str">
        <f>IF(AND('Mapa final'!$Y$54="Baja",'Mapa final'!$AA$54="Moderado"),CONCATENATE("R8C",'Mapa final'!$O$54),"")</f>
        <v/>
      </c>
      <c r="Y43" s="55" t="str">
        <f>IF(AND('Mapa final'!$Y$55="Baja",'Mapa final'!$AA$55="Moderado"),CONCATENATE("R8C",'Mapa final'!$O$55),"")</f>
        <v/>
      </c>
      <c r="Z43" s="55" t="str">
        <f>IF(AND('Mapa final'!$Y$56="Baja",'Mapa final'!$AA$56="Moderado"),CONCATENATE("R8C",'Mapa final'!$O$56),"")</f>
        <v/>
      </c>
      <c r="AA43" s="56" t="str">
        <f>IF(AND('Mapa final'!$Y$57="Baja",'Mapa final'!$AA$57="Moderado"),CONCATENATE("R8C",'Mapa final'!$O$57),"")</f>
        <v/>
      </c>
      <c r="AB43" s="38" t="str">
        <f>IF(AND('Mapa final'!$Y$52="Baja",'Mapa final'!$AA$52="Mayor"),CONCATENATE("R8C",'Mapa final'!$O$52),"")</f>
        <v/>
      </c>
      <c r="AC43" s="39" t="str">
        <f>IF(AND('Mapa final'!$Y$53="Baja",'Mapa final'!$AA$53="Mayor"),CONCATENATE("R8C",'Mapa final'!$O$53),"")</f>
        <v/>
      </c>
      <c r="AD43" s="44" t="str">
        <f>IF(AND('Mapa final'!$Y$54="Baja",'Mapa final'!$AA$54="Mayor"),CONCATENATE("R8C",'Mapa final'!$O$54),"")</f>
        <v/>
      </c>
      <c r="AE43" s="44" t="str">
        <f>IF(AND('Mapa final'!$Y$55="Baja",'Mapa final'!$AA$55="Mayor"),CONCATENATE("R8C",'Mapa final'!$O$55),"")</f>
        <v/>
      </c>
      <c r="AF43" s="44" t="str">
        <f>IF(AND('Mapa final'!$Y$56="Baja",'Mapa final'!$AA$56="Mayor"),CONCATENATE("R8C",'Mapa final'!$O$56),"")</f>
        <v/>
      </c>
      <c r="AG43" s="40" t="str">
        <f>IF(AND('Mapa final'!$Y$57="Baja",'Mapa final'!$AA$57="Mayor"),CONCATENATE("R8C",'Mapa final'!$O$57),"")</f>
        <v/>
      </c>
      <c r="AH43" s="41" t="str">
        <f>IF(AND('Mapa final'!$Y$52="Baja",'Mapa final'!$AA$52="Catastrófico"),CONCATENATE("R8C",'Mapa final'!$O$52),"")</f>
        <v/>
      </c>
      <c r="AI43" s="42" t="str">
        <f>IF(AND('Mapa final'!$Y$53="Baja",'Mapa final'!$AA$53="Catastrófico"),CONCATENATE("R8C",'Mapa final'!$O$53),"")</f>
        <v/>
      </c>
      <c r="AJ43" s="42" t="str">
        <f>IF(AND('Mapa final'!$Y$54="Baja",'Mapa final'!$AA$54="Catastrófico"),CONCATENATE("R8C",'Mapa final'!$O$54),"")</f>
        <v/>
      </c>
      <c r="AK43" s="42" t="str">
        <f>IF(AND('Mapa final'!$Y$55="Baja",'Mapa final'!$AA$55="Catastrófico"),CONCATENATE("R8C",'Mapa final'!$O$55),"")</f>
        <v/>
      </c>
      <c r="AL43" s="42" t="str">
        <f>IF(AND('Mapa final'!$Y$56="Baja",'Mapa final'!$AA$56="Catastrófico"),CONCATENATE("R8C",'Mapa final'!$O$56),"")</f>
        <v/>
      </c>
      <c r="AM43" s="43" t="str">
        <f>IF(AND('Mapa final'!$Y$57="Baja",'Mapa final'!$AA$57="Catastrófico"),CONCATENATE("R8C",'Mapa final'!$O$57),"")</f>
        <v/>
      </c>
      <c r="AN43" s="70"/>
      <c r="AO43" s="433"/>
      <c r="AP43" s="434"/>
      <c r="AQ43" s="434"/>
      <c r="AR43" s="434"/>
      <c r="AS43" s="434"/>
      <c r="AT43" s="435"/>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row>
    <row r="44" spans="1:80" ht="15" customHeight="1" x14ac:dyDescent="0.25">
      <c r="A44" s="70"/>
      <c r="B44" s="360"/>
      <c r="C44" s="360"/>
      <c r="D44" s="361"/>
      <c r="E44" s="401"/>
      <c r="F44" s="402"/>
      <c r="G44" s="402"/>
      <c r="H44" s="402"/>
      <c r="I44" s="418"/>
      <c r="J44" s="63" t="str">
        <f>IF(AND('Mapa final'!$Y$58="Baja",'Mapa final'!$AA$58="Leve"),CONCATENATE("R9C",'Mapa final'!$O$58),"")</f>
        <v/>
      </c>
      <c r="K44" s="64" t="str">
        <f>IF(AND('Mapa final'!$Y$59="Baja",'Mapa final'!$AA$59="Leve"),CONCATENATE("R9C",'Mapa final'!$O$59),"")</f>
        <v/>
      </c>
      <c r="L44" s="64" t="str">
        <f>IF(AND('Mapa final'!$Y$60="Baja",'Mapa final'!$AA$60="Leve"),CONCATENATE("R9C",'Mapa final'!$O$60),"")</f>
        <v/>
      </c>
      <c r="M44" s="64" t="str">
        <f>IF(AND('Mapa final'!$Y$61="Baja",'Mapa final'!$AA$61="Leve"),CONCATENATE("R9C",'Mapa final'!$O$61),"")</f>
        <v/>
      </c>
      <c r="N44" s="64" t="str">
        <f>IF(AND('Mapa final'!$Y$62="Baja",'Mapa final'!$AA$62="Leve"),CONCATENATE("R9C",'Mapa final'!$O$62),"")</f>
        <v/>
      </c>
      <c r="O44" s="65" t="str">
        <f>IF(AND('Mapa final'!$Y$63="Baja",'Mapa final'!$AA$63="Leve"),CONCATENATE("R9C",'Mapa final'!$O$63),"")</f>
        <v/>
      </c>
      <c r="P44" s="54" t="str">
        <f>IF(AND('Mapa final'!$Y$58="Baja",'Mapa final'!$AA$58="Menor"),CONCATENATE("R9C",'Mapa final'!$O$58),"")</f>
        <v/>
      </c>
      <c r="Q44" s="55" t="str">
        <f>IF(AND('Mapa final'!$Y$59="Baja",'Mapa final'!$AA$59="Menor"),CONCATENATE("R9C",'Mapa final'!$O$59),"")</f>
        <v/>
      </c>
      <c r="R44" s="55" t="str">
        <f>IF(AND('Mapa final'!$Y$60="Baja",'Mapa final'!$AA$60="Menor"),CONCATENATE("R9C",'Mapa final'!$O$60),"")</f>
        <v/>
      </c>
      <c r="S44" s="55" t="str">
        <f>IF(AND('Mapa final'!$Y$61="Baja",'Mapa final'!$AA$61="Menor"),CONCATENATE("R9C",'Mapa final'!$O$61),"")</f>
        <v/>
      </c>
      <c r="T44" s="55" t="str">
        <f>IF(AND('Mapa final'!$Y$62="Baja",'Mapa final'!$AA$62="Menor"),CONCATENATE("R9C",'Mapa final'!$O$62),"")</f>
        <v/>
      </c>
      <c r="U44" s="56" t="str">
        <f>IF(AND('Mapa final'!$Y$63="Baja",'Mapa final'!$AA$63="Menor"),CONCATENATE("R9C",'Mapa final'!$O$63),"")</f>
        <v/>
      </c>
      <c r="V44" s="54" t="str">
        <f>IF(AND('Mapa final'!$Y$58="Baja",'Mapa final'!$AA$58="Moderado"),CONCATENATE("R9C",'Mapa final'!$O$58),"")</f>
        <v/>
      </c>
      <c r="W44" s="55" t="str">
        <f>IF(AND('Mapa final'!$Y$59="Baja",'Mapa final'!$AA$59="Moderado"),CONCATENATE("R9C",'Mapa final'!$O$59),"")</f>
        <v/>
      </c>
      <c r="X44" s="55" t="str">
        <f>IF(AND('Mapa final'!$Y$60="Baja",'Mapa final'!$AA$60="Moderado"),CONCATENATE("R9C",'Mapa final'!$O$60),"")</f>
        <v/>
      </c>
      <c r="Y44" s="55" t="str">
        <f>IF(AND('Mapa final'!$Y$61="Baja",'Mapa final'!$AA$61="Moderado"),CONCATENATE("R9C",'Mapa final'!$O$61),"")</f>
        <v/>
      </c>
      <c r="Z44" s="55" t="str">
        <f>IF(AND('Mapa final'!$Y$62="Baja",'Mapa final'!$AA$62="Moderado"),CONCATENATE("R9C",'Mapa final'!$O$62),"")</f>
        <v/>
      </c>
      <c r="AA44" s="56" t="str">
        <f>IF(AND('Mapa final'!$Y$63="Baja",'Mapa final'!$AA$63="Moderado"),CONCATENATE("R9C",'Mapa final'!$O$63),"")</f>
        <v/>
      </c>
      <c r="AB44" s="38" t="str">
        <f>IF(AND('Mapa final'!$Y$58="Baja",'Mapa final'!$AA$58="Mayor"),CONCATENATE("R9C",'Mapa final'!$O$58),"")</f>
        <v/>
      </c>
      <c r="AC44" s="39" t="str">
        <f>IF(AND('Mapa final'!$Y$59="Baja",'Mapa final'!$AA$59="Mayor"),CONCATENATE("R9C",'Mapa final'!$O$59),"")</f>
        <v/>
      </c>
      <c r="AD44" s="44" t="str">
        <f>IF(AND('Mapa final'!$Y$60="Baja",'Mapa final'!$AA$60="Mayor"),CONCATENATE("R9C",'Mapa final'!$O$60),"")</f>
        <v/>
      </c>
      <c r="AE44" s="44" t="str">
        <f>IF(AND('Mapa final'!$Y$61="Baja",'Mapa final'!$AA$61="Mayor"),CONCATENATE("R9C",'Mapa final'!$O$61),"")</f>
        <v/>
      </c>
      <c r="AF44" s="44" t="str">
        <f>IF(AND('Mapa final'!$Y$62="Baja",'Mapa final'!$AA$62="Mayor"),CONCATENATE("R9C",'Mapa final'!$O$62),"")</f>
        <v/>
      </c>
      <c r="AG44" s="40" t="str">
        <f>IF(AND('Mapa final'!$Y$63="Baja",'Mapa final'!$AA$63="Mayor"),CONCATENATE("R9C",'Mapa final'!$O$63),"")</f>
        <v/>
      </c>
      <c r="AH44" s="41" t="str">
        <f>IF(AND('Mapa final'!$Y$58="Baja",'Mapa final'!$AA$58="Catastrófico"),CONCATENATE("R9C",'Mapa final'!$O$58),"")</f>
        <v/>
      </c>
      <c r="AI44" s="42" t="str">
        <f>IF(AND('Mapa final'!$Y$59="Baja",'Mapa final'!$AA$59="Catastrófico"),CONCATENATE("R9C",'Mapa final'!$O$59),"")</f>
        <v/>
      </c>
      <c r="AJ44" s="42" t="str">
        <f>IF(AND('Mapa final'!$Y$60="Baja",'Mapa final'!$AA$60="Catastrófico"),CONCATENATE("R9C",'Mapa final'!$O$60),"")</f>
        <v/>
      </c>
      <c r="AK44" s="42" t="str">
        <f>IF(AND('Mapa final'!$Y$61="Baja",'Mapa final'!$AA$61="Catastrófico"),CONCATENATE("R9C",'Mapa final'!$O$61),"")</f>
        <v/>
      </c>
      <c r="AL44" s="42" t="str">
        <f>IF(AND('Mapa final'!$Y$62="Baja",'Mapa final'!$AA$62="Catastrófico"),CONCATENATE("R9C",'Mapa final'!$O$62),"")</f>
        <v/>
      </c>
      <c r="AM44" s="43" t="str">
        <f>IF(AND('Mapa final'!$Y$63="Baja",'Mapa final'!$AA$63="Catastrófico"),CONCATENATE("R9C",'Mapa final'!$O$63),"")</f>
        <v/>
      </c>
      <c r="AN44" s="70"/>
      <c r="AO44" s="433"/>
      <c r="AP44" s="434"/>
      <c r="AQ44" s="434"/>
      <c r="AR44" s="434"/>
      <c r="AS44" s="434"/>
      <c r="AT44" s="435"/>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row>
    <row r="45" spans="1:80" ht="15.75" customHeight="1" thickBot="1" x14ac:dyDescent="0.3">
      <c r="A45" s="70"/>
      <c r="B45" s="360"/>
      <c r="C45" s="360"/>
      <c r="D45" s="361"/>
      <c r="E45" s="404"/>
      <c r="F45" s="405"/>
      <c r="G45" s="405"/>
      <c r="H45" s="405"/>
      <c r="I45" s="405"/>
      <c r="J45" s="66" t="str">
        <f>IF(AND('Mapa final'!$Y$64="Baja",'Mapa final'!$AA$64="Leve"),CONCATENATE("R10C",'Mapa final'!$O$64),"")</f>
        <v/>
      </c>
      <c r="K45" s="67" t="str">
        <f>IF(AND('Mapa final'!$Y$65="Baja",'Mapa final'!$AA$65="Leve"),CONCATENATE("R10C",'Mapa final'!$O$65),"")</f>
        <v/>
      </c>
      <c r="L45" s="67" t="str">
        <f>IF(AND('Mapa final'!$Y$66="Baja",'Mapa final'!$AA$66="Leve"),CONCATENATE("R10C",'Mapa final'!$O$66),"")</f>
        <v/>
      </c>
      <c r="M45" s="67" t="str">
        <f>IF(AND('Mapa final'!$Y$67="Baja",'Mapa final'!$AA$67="Leve"),CONCATENATE("R10C",'Mapa final'!$O$67),"")</f>
        <v/>
      </c>
      <c r="N45" s="67" t="str">
        <f>IF(AND('Mapa final'!$Y$68="Baja",'Mapa final'!$AA$68="Leve"),CONCATENATE("R10C",'Mapa final'!$O$68),"")</f>
        <v/>
      </c>
      <c r="O45" s="68" t="str">
        <f>IF(AND('Mapa final'!$Y$69="Baja",'Mapa final'!$AA$69="Leve"),CONCATENATE("R10C",'Mapa final'!$O$69),"")</f>
        <v/>
      </c>
      <c r="P45" s="54" t="str">
        <f>IF(AND('Mapa final'!$Y$64="Baja",'Mapa final'!$AA$64="Menor"),CONCATENATE("R10C",'Mapa final'!$O$64),"")</f>
        <v/>
      </c>
      <c r="Q45" s="55" t="str">
        <f>IF(AND('Mapa final'!$Y$65="Baja",'Mapa final'!$AA$65="Menor"),CONCATENATE("R10C",'Mapa final'!$O$65),"")</f>
        <v/>
      </c>
      <c r="R45" s="55" t="str">
        <f>IF(AND('Mapa final'!$Y$66="Baja",'Mapa final'!$AA$66="Menor"),CONCATENATE("R10C",'Mapa final'!$O$66),"")</f>
        <v/>
      </c>
      <c r="S45" s="55" t="str">
        <f>IF(AND('Mapa final'!$Y$67="Baja",'Mapa final'!$AA$67="Menor"),CONCATENATE("R10C",'Mapa final'!$O$67),"")</f>
        <v/>
      </c>
      <c r="T45" s="55" t="str">
        <f>IF(AND('Mapa final'!$Y$68="Baja",'Mapa final'!$AA$68="Menor"),CONCATENATE("R10C",'Mapa final'!$O$68),"")</f>
        <v/>
      </c>
      <c r="U45" s="56" t="str">
        <f>IF(AND('Mapa final'!$Y$69="Baja",'Mapa final'!$AA$69="Menor"),CONCATENATE("R10C",'Mapa final'!$O$69),"")</f>
        <v/>
      </c>
      <c r="V45" s="57" t="str">
        <f>IF(AND('Mapa final'!$Y$64="Baja",'Mapa final'!$AA$64="Moderado"),CONCATENATE("R10C",'Mapa final'!$O$64),"")</f>
        <v/>
      </c>
      <c r="W45" s="58" t="str">
        <f>IF(AND('Mapa final'!$Y$65="Baja",'Mapa final'!$AA$65="Moderado"),CONCATENATE("R10C",'Mapa final'!$O$65),"")</f>
        <v/>
      </c>
      <c r="X45" s="58" t="str">
        <f>IF(AND('Mapa final'!$Y$66="Baja",'Mapa final'!$AA$66="Moderado"),CONCATENATE("R10C",'Mapa final'!$O$66),"")</f>
        <v/>
      </c>
      <c r="Y45" s="58" t="str">
        <f>IF(AND('Mapa final'!$Y$67="Baja",'Mapa final'!$AA$67="Moderado"),CONCATENATE("R10C",'Mapa final'!$O$67),"")</f>
        <v/>
      </c>
      <c r="Z45" s="58" t="str">
        <f>IF(AND('Mapa final'!$Y$68="Baja",'Mapa final'!$AA$68="Moderado"),CONCATENATE("R10C",'Mapa final'!$O$68),"")</f>
        <v/>
      </c>
      <c r="AA45" s="59" t="str">
        <f>IF(AND('Mapa final'!$Y$69="Baja",'Mapa final'!$AA$69="Moderado"),CONCATENATE("R10C",'Mapa final'!$O$69),"")</f>
        <v/>
      </c>
      <c r="AB45" s="45" t="str">
        <f>IF(AND('Mapa final'!$Y$64="Baja",'Mapa final'!$AA$64="Mayor"),CONCATENATE("R10C",'Mapa final'!$O$64),"")</f>
        <v/>
      </c>
      <c r="AC45" s="46" t="str">
        <f>IF(AND('Mapa final'!$Y$65="Baja",'Mapa final'!$AA$65="Mayor"),CONCATENATE("R10C",'Mapa final'!$O$65),"")</f>
        <v/>
      </c>
      <c r="AD45" s="46" t="str">
        <f>IF(AND('Mapa final'!$Y$66="Baja",'Mapa final'!$AA$66="Mayor"),CONCATENATE("R10C",'Mapa final'!$O$66),"")</f>
        <v/>
      </c>
      <c r="AE45" s="46" t="str">
        <f>IF(AND('Mapa final'!$Y$67="Baja",'Mapa final'!$AA$67="Mayor"),CONCATENATE("R10C",'Mapa final'!$O$67),"")</f>
        <v/>
      </c>
      <c r="AF45" s="46" t="str">
        <f>IF(AND('Mapa final'!$Y$68="Baja",'Mapa final'!$AA$68="Mayor"),CONCATENATE("R10C",'Mapa final'!$O$68),"")</f>
        <v/>
      </c>
      <c r="AG45" s="47" t="str">
        <f>IF(AND('Mapa final'!$Y$69="Baja",'Mapa final'!$AA$69="Mayor"),CONCATENATE("R10C",'Mapa final'!$O$69),"")</f>
        <v/>
      </c>
      <c r="AH45" s="48" t="str">
        <f>IF(AND('Mapa final'!$Y$64="Baja",'Mapa final'!$AA$64="Catastrófico"),CONCATENATE("R10C",'Mapa final'!$O$64),"")</f>
        <v/>
      </c>
      <c r="AI45" s="49" t="str">
        <f>IF(AND('Mapa final'!$Y$65="Baja",'Mapa final'!$AA$65="Catastrófico"),CONCATENATE("R10C",'Mapa final'!$O$65),"")</f>
        <v/>
      </c>
      <c r="AJ45" s="49" t="str">
        <f>IF(AND('Mapa final'!$Y$66="Baja",'Mapa final'!$AA$66="Catastrófico"),CONCATENATE("R10C",'Mapa final'!$O$66),"")</f>
        <v/>
      </c>
      <c r="AK45" s="49" t="str">
        <f>IF(AND('Mapa final'!$Y$67="Baja",'Mapa final'!$AA$67="Catastrófico"),CONCATENATE("R10C",'Mapa final'!$O$67),"")</f>
        <v/>
      </c>
      <c r="AL45" s="49" t="str">
        <f>IF(AND('Mapa final'!$Y$68="Baja",'Mapa final'!$AA$68="Catastrófico"),CONCATENATE("R10C",'Mapa final'!$O$68),"")</f>
        <v/>
      </c>
      <c r="AM45" s="50" t="str">
        <f>IF(AND('Mapa final'!$Y$69="Baja",'Mapa final'!$AA$69="Catastrófico"),CONCATENATE("R10C",'Mapa final'!$O$69),"")</f>
        <v/>
      </c>
      <c r="AN45" s="70"/>
      <c r="AO45" s="436"/>
      <c r="AP45" s="437"/>
      <c r="AQ45" s="437"/>
      <c r="AR45" s="437"/>
      <c r="AS45" s="437"/>
      <c r="AT45" s="438"/>
    </row>
    <row r="46" spans="1:80" ht="46.5" customHeight="1" x14ac:dyDescent="0.35">
      <c r="A46" s="70"/>
      <c r="B46" s="360"/>
      <c r="C46" s="360"/>
      <c r="D46" s="361"/>
      <c r="E46" s="398" t="s">
        <v>113</v>
      </c>
      <c r="F46" s="399"/>
      <c r="G46" s="399"/>
      <c r="H46" s="399"/>
      <c r="I46" s="400"/>
      <c r="J46" s="60" t="str">
        <f>IF(AND('Mapa final'!$Y$10="Muy Baja",'Mapa final'!$AA$10="Leve"),CONCATENATE("R1C",'Mapa final'!$O$10),"")</f>
        <v/>
      </c>
      <c r="K46" s="61" t="str">
        <f>IF(AND('Mapa final'!$Y$11="Muy Baja",'Mapa final'!$AA$11="Leve"),CONCATENATE("R1C",'Mapa final'!$O$11),"")</f>
        <v/>
      </c>
      <c r="L46" s="61" t="str">
        <f>IF(AND('Mapa final'!$Y$12="Muy Baja",'Mapa final'!$AA$12="Leve"),CONCATENATE("R1C",'Mapa final'!$O$12),"")</f>
        <v/>
      </c>
      <c r="M46" s="61" t="str">
        <f>IF(AND('Mapa final'!$Y$13="Muy Baja",'Mapa final'!$AA$13="Leve"),CONCATENATE("R1C",'Mapa final'!$O$13),"")</f>
        <v/>
      </c>
      <c r="N46" s="61" t="str">
        <f>IF(AND('Mapa final'!$Y$14="Muy Baja",'Mapa final'!$AA$14="Leve"),CONCATENATE("R1C",'Mapa final'!$O$14),"")</f>
        <v/>
      </c>
      <c r="O46" s="62" t="str">
        <f>IF(AND('Mapa final'!$Y$15="Muy Baja",'Mapa final'!$AA$15="Leve"),CONCATENATE("R1C",'Mapa final'!$O$15),"")</f>
        <v/>
      </c>
      <c r="P46" s="60" t="str">
        <f>IF(AND('Mapa final'!$Y$10="Muy Baja",'Mapa final'!$AA$10="Menor"),CONCATENATE("R1C",'Mapa final'!$O$10),"")</f>
        <v/>
      </c>
      <c r="Q46" s="61" t="str">
        <f>IF(AND('Mapa final'!$Y$11="Muy Baja",'Mapa final'!$AA$11="Menor"),CONCATENATE("R1C",'Mapa final'!$O$11),"")</f>
        <v/>
      </c>
      <c r="R46" s="61" t="str">
        <f>IF(AND('Mapa final'!$Y$12="Muy Baja",'Mapa final'!$AA$12="Menor"),CONCATENATE("R1C",'Mapa final'!$O$12),"")</f>
        <v/>
      </c>
      <c r="S46" s="61" t="str">
        <f>IF(AND('Mapa final'!$Y$13="Muy Baja",'Mapa final'!$AA$13="Menor"),CONCATENATE("R1C",'Mapa final'!$O$13),"")</f>
        <v/>
      </c>
      <c r="T46" s="61" t="str">
        <f>IF(AND('Mapa final'!$Y$14="Muy Baja",'Mapa final'!$AA$14="Menor"),CONCATENATE("R1C",'Mapa final'!$O$14),"")</f>
        <v/>
      </c>
      <c r="U46" s="62" t="str">
        <f>IF(AND('Mapa final'!$Y$15="Muy Baja",'Mapa final'!$AA$15="Menor"),CONCATENATE("R1C",'Mapa final'!$O$15),"")</f>
        <v/>
      </c>
      <c r="V46" s="51" t="str">
        <f>IF(AND('Mapa final'!$Y$10="Muy Baja",'Mapa final'!$AA$10="Moderado"),CONCATENATE("R1C",'Mapa final'!$O$10),"")</f>
        <v/>
      </c>
      <c r="W46" s="69" t="str">
        <f>IF(AND('Mapa final'!$Y$11="Muy Baja",'Mapa final'!$AA$11="Moderado"),CONCATENATE("R1C",'Mapa final'!$O$11),"")</f>
        <v/>
      </c>
      <c r="X46" s="52" t="str">
        <f>IF(AND('Mapa final'!$Y$12="Muy Baja",'Mapa final'!$AA$12="Moderado"),CONCATENATE("R1C",'Mapa final'!$O$12),"")</f>
        <v/>
      </c>
      <c r="Y46" s="52" t="str">
        <f>IF(AND('Mapa final'!$Y$13="Muy Baja",'Mapa final'!$AA$13="Moderado"),CONCATENATE("R1C",'Mapa final'!$O$13),"")</f>
        <v/>
      </c>
      <c r="Z46" s="52" t="str">
        <f>IF(AND('Mapa final'!$Y$14="Muy Baja",'Mapa final'!$AA$14="Moderado"),CONCATENATE("R1C",'Mapa final'!$O$14),"")</f>
        <v/>
      </c>
      <c r="AA46" s="53" t="str">
        <f>IF(AND('Mapa final'!$Y$15="Muy Baja",'Mapa final'!$AA$15="Moderado"),CONCATENATE("R1C",'Mapa final'!$O$15),"")</f>
        <v/>
      </c>
      <c r="AB46" s="32" t="str">
        <f>IF(AND('Mapa final'!$Y$10="Muy Baja",'Mapa final'!$AA$10="Mayor"),CONCATENATE("R1C",'Mapa final'!$O$10),"")</f>
        <v/>
      </c>
      <c r="AC46" s="33" t="str">
        <f>IF(AND('Mapa final'!$Y$11="Muy Baja",'Mapa final'!$AA$11="Mayor"),CONCATENATE("R1C",'Mapa final'!$O$11),"")</f>
        <v/>
      </c>
      <c r="AD46" s="33" t="str">
        <f>IF(AND('Mapa final'!$Y$12="Muy Baja",'Mapa final'!$AA$12="Mayor"),CONCATENATE("R1C",'Mapa final'!$O$12),"")</f>
        <v/>
      </c>
      <c r="AE46" s="33" t="str">
        <f>IF(AND('Mapa final'!$Y$13="Muy Baja",'Mapa final'!$AA$13="Mayor"),CONCATENATE("R1C",'Mapa final'!$O$13),"")</f>
        <v/>
      </c>
      <c r="AF46" s="33" t="str">
        <f>IF(AND('Mapa final'!$Y$14="Muy Baja",'Mapa final'!$AA$14="Mayor"),CONCATENATE("R1C",'Mapa final'!$O$14),"")</f>
        <v/>
      </c>
      <c r="AG46" s="34" t="str">
        <f>IF(AND('Mapa final'!$Y$15="Muy Baja",'Mapa final'!$AA$15="Mayor"),CONCATENATE("R1C",'Mapa final'!$O$15),"")</f>
        <v/>
      </c>
      <c r="AH46" s="35" t="str">
        <f>IF(AND('Mapa final'!$Y$10="Muy Baja",'Mapa final'!$AA$10="Catastrófico"),CONCATENATE("R1C",'Mapa final'!$O$10),"")</f>
        <v/>
      </c>
      <c r="AI46" s="36" t="str">
        <f>IF(AND('Mapa final'!$Y$11="Muy Baja",'Mapa final'!$AA$11="Catastrófico"),CONCATENATE("R1C",'Mapa final'!$O$11),"")</f>
        <v/>
      </c>
      <c r="AJ46" s="36" t="str">
        <f>IF(AND('Mapa final'!$Y$12="Muy Baja",'Mapa final'!$AA$12="Catastrófico"),CONCATENATE("R1C",'Mapa final'!$O$12),"")</f>
        <v/>
      </c>
      <c r="AK46" s="36" t="str">
        <f>IF(AND('Mapa final'!$Y$13="Muy Baja",'Mapa final'!$AA$13="Catastrófico"),CONCATENATE("R1C",'Mapa final'!$O$13),"")</f>
        <v/>
      </c>
      <c r="AL46" s="36" t="str">
        <f>IF(AND('Mapa final'!$Y$14="Muy Baja",'Mapa final'!$AA$14="Catastrófico"),CONCATENATE("R1C",'Mapa final'!$O$14),"")</f>
        <v/>
      </c>
      <c r="AM46" s="37" t="str">
        <f>IF(AND('Mapa final'!$Y$15="Muy Baja",'Mapa final'!$AA$15="Catastrófico"),CONCATENATE("R1C",'Mapa final'!$O$15),"")</f>
        <v/>
      </c>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ht="46.5" customHeight="1" x14ac:dyDescent="0.25">
      <c r="A47" s="70"/>
      <c r="B47" s="360"/>
      <c r="C47" s="360"/>
      <c r="D47" s="361"/>
      <c r="E47" s="417"/>
      <c r="F47" s="418"/>
      <c r="G47" s="418"/>
      <c r="H47" s="418"/>
      <c r="I47" s="403"/>
      <c r="J47" s="63" t="str">
        <f>IF(AND('Mapa final'!$Y$16="Muy Baja",'Mapa final'!$AA$16="Leve"),CONCATENATE("R2C",'Mapa final'!$O$16),"")</f>
        <v/>
      </c>
      <c r="K47" s="64" t="str">
        <f>IF(AND('Mapa final'!$Y$17="Muy Baja",'Mapa final'!$AA$17="Leve"),CONCATENATE("R2C",'Mapa final'!$O$17),"")</f>
        <v/>
      </c>
      <c r="L47" s="64" t="str">
        <f>IF(AND('Mapa final'!$Y$18="Muy Baja",'Mapa final'!$AA$18="Leve"),CONCATENATE("R2C",'Mapa final'!$O$18),"")</f>
        <v/>
      </c>
      <c r="M47" s="64" t="str">
        <f>IF(AND('Mapa final'!$Y$19="Muy Baja",'Mapa final'!$AA$19="Leve"),CONCATENATE("R2C",'Mapa final'!$O$19),"")</f>
        <v/>
      </c>
      <c r="N47" s="64" t="str">
        <f>IF(AND('Mapa final'!$Y$20="Muy Baja",'Mapa final'!$AA$20="Leve"),CONCATENATE("R2C",'Mapa final'!$O$20),"")</f>
        <v/>
      </c>
      <c r="O47" s="65" t="str">
        <f>IF(AND('Mapa final'!$Y$21="Muy Baja",'Mapa final'!$AA$21="Leve"),CONCATENATE("R2C",'Mapa final'!$O$21),"")</f>
        <v/>
      </c>
      <c r="P47" s="63" t="str">
        <f>IF(AND('Mapa final'!$Y$16="Muy Baja",'Mapa final'!$AA$16="Menor"),CONCATENATE("R2C",'Mapa final'!$O$16),"")</f>
        <v/>
      </c>
      <c r="Q47" s="64" t="str">
        <f>IF(AND('Mapa final'!$Y$17="Muy Baja",'Mapa final'!$AA$17="Menor"),CONCATENATE("R2C",'Mapa final'!$O$17),"")</f>
        <v/>
      </c>
      <c r="R47" s="64" t="str">
        <f>IF(AND('Mapa final'!$Y$18="Muy Baja",'Mapa final'!$AA$18="Menor"),CONCATENATE("R2C",'Mapa final'!$O$18),"")</f>
        <v/>
      </c>
      <c r="S47" s="64" t="str">
        <f>IF(AND('Mapa final'!$Y$19="Muy Baja",'Mapa final'!$AA$19="Menor"),CONCATENATE("R2C",'Mapa final'!$O$19),"")</f>
        <v/>
      </c>
      <c r="T47" s="64" t="str">
        <f>IF(AND('Mapa final'!$Y$20="Muy Baja",'Mapa final'!$AA$20="Menor"),CONCATENATE("R2C",'Mapa final'!$O$20),"")</f>
        <v/>
      </c>
      <c r="U47" s="65" t="str">
        <f>IF(AND('Mapa final'!$Y$21="Muy Baja",'Mapa final'!$AA$21="Menor"),CONCATENATE("R2C",'Mapa final'!$O$21),"")</f>
        <v/>
      </c>
      <c r="V47" s="54" t="str">
        <f>IF(AND('Mapa final'!$Y$16="Muy Baja",'Mapa final'!$AA$16="Moderado"),CONCATENATE("R2C",'Mapa final'!$O$16),"")</f>
        <v/>
      </c>
      <c r="W47" s="55" t="str">
        <f>IF(AND('Mapa final'!$Y$17="Muy Baja",'Mapa final'!$AA$17="Moderado"),CONCATENATE("R2C",'Mapa final'!$O$17),"")</f>
        <v/>
      </c>
      <c r="X47" s="55" t="str">
        <f>IF(AND('Mapa final'!$Y$18="Muy Baja",'Mapa final'!$AA$18="Moderado"),CONCATENATE("R2C",'Mapa final'!$O$18),"")</f>
        <v/>
      </c>
      <c r="Y47" s="55" t="str">
        <f>IF(AND('Mapa final'!$Y$19="Muy Baja",'Mapa final'!$AA$19="Moderado"),CONCATENATE("R2C",'Mapa final'!$O$19),"")</f>
        <v/>
      </c>
      <c r="Z47" s="55" t="str">
        <f>IF(AND('Mapa final'!$Y$20="Muy Baja",'Mapa final'!$AA$20="Moderado"),CONCATENATE("R2C",'Mapa final'!$O$20),"")</f>
        <v/>
      </c>
      <c r="AA47" s="56" t="str">
        <f>IF(AND('Mapa final'!$Y$21="Muy Baja",'Mapa final'!$AA$21="Moderado"),CONCATENATE("R2C",'Mapa final'!$O$21),"")</f>
        <v/>
      </c>
      <c r="AB47" s="38" t="str">
        <f>IF(AND('Mapa final'!$Y$16="Muy Baja",'Mapa final'!$AA$16="Mayor"),CONCATENATE("R2C",'Mapa final'!$O$16),"")</f>
        <v/>
      </c>
      <c r="AC47" s="39" t="str">
        <f>IF(AND('Mapa final'!$Y$17="Muy Baja",'Mapa final'!$AA$17="Mayor"),CONCATENATE("R2C",'Mapa final'!$O$17),"")</f>
        <v/>
      </c>
      <c r="AD47" s="39" t="str">
        <f>IF(AND('Mapa final'!$Y$18="Muy Baja",'Mapa final'!$AA$18="Mayor"),CONCATENATE("R2C",'Mapa final'!$O$18),"")</f>
        <v/>
      </c>
      <c r="AE47" s="39" t="str">
        <f>IF(AND('Mapa final'!$Y$19="Muy Baja",'Mapa final'!$AA$19="Mayor"),CONCATENATE("R2C",'Mapa final'!$O$19),"")</f>
        <v/>
      </c>
      <c r="AF47" s="39" t="str">
        <f>IF(AND('Mapa final'!$Y$20="Muy Baja",'Mapa final'!$AA$20="Mayor"),CONCATENATE("R2C",'Mapa final'!$O$20),"")</f>
        <v/>
      </c>
      <c r="AG47" s="40" t="str">
        <f>IF(AND('Mapa final'!$Y$21="Muy Baja",'Mapa final'!$AA$21="Mayor"),CONCATENATE("R2C",'Mapa final'!$O$21),"")</f>
        <v/>
      </c>
      <c r="AH47" s="41" t="str">
        <f>IF(AND('Mapa final'!$Y$16="Muy Baja",'Mapa final'!$AA$16="Catastrófico"),CONCATENATE("R2C",'Mapa final'!$O$16),"")</f>
        <v/>
      </c>
      <c r="AI47" s="42" t="str">
        <f>IF(AND('Mapa final'!$Y$17="Muy Baja",'Mapa final'!$AA$17="Catastrófico"),CONCATENATE("R2C",'Mapa final'!$O$17),"")</f>
        <v/>
      </c>
      <c r="AJ47" s="42" t="str">
        <f>IF(AND('Mapa final'!$Y$18="Muy Baja",'Mapa final'!$AA$18="Catastrófico"),CONCATENATE("R2C",'Mapa final'!$O$18),"")</f>
        <v/>
      </c>
      <c r="AK47" s="42" t="str">
        <f>IF(AND('Mapa final'!$Y$19="Muy Baja",'Mapa final'!$AA$19="Catastrófico"),CONCATENATE("R2C",'Mapa final'!$O$19),"")</f>
        <v/>
      </c>
      <c r="AL47" s="42" t="str">
        <f>IF(AND('Mapa final'!$Y$20="Muy Baja",'Mapa final'!$AA$20="Catastrófico"),CONCATENATE("R2C",'Mapa final'!$O$20),"")</f>
        <v/>
      </c>
      <c r="AM47" s="43" t="str">
        <f>IF(AND('Mapa final'!$Y$21="Muy Baja",'Mapa final'!$AA$21="Catastrófico"),CONCATENATE("R2C",'Mapa final'!$O$21),"")</f>
        <v/>
      </c>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ht="15" customHeight="1" x14ac:dyDescent="0.25">
      <c r="A48" s="70"/>
      <c r="B48" s="360"/>
      <c r="C48" s="360"/>
      <c r="D48" s="361"/>
      <c r="E48" s="417"/>
      <c r="F48" s="418"/>
      <c r="G48" s="418"/>
      <c r="H48" s="418"/>
      <c r="I48" s="403"/>
      <c r="J48" s="63" t="str">
        <f>IF(AND('Mapa final'!$Y$22="Muy Baja",'Mapa final'!$AA$22="Leve"),CONCATENATE("R3C",'Mapa final'!$O$22),"")</f>
        <v/>
      </c>
      <c r="K48" s="64" t="str">
        <f>IF(AND('Mapa final'!$Y$23="Muy Baja",'Mapa final'!$AA$23="Leve"),CONCATENATE("R3C",'Mapa final'!$O$23),"")</f>
        <v/>
      </c>
      <c r="L48" s="64" t="str">
        <f>IF(AND('Mapa final'!$Y$24="Muy Baja",'Mapa final'!$AA$24="Leve"),CONCATENATE("R3C",'Mapa final'!$O$24),"")</f>
        <v/>
      </c>
      <c r="M48" s="64" t="str">
        <f>IF(AND('Mapa final'!$Y$25="Muy Baja",'Mapa final'!$AA$25="Leve"),CONCATENATE("R3C",'Mapa final'!$O$25),"")</f>
        <v/>
      </c>
      <c r="N48" s="64" t="str">
        <f>IF(AND('Mapa final'!$Y$26="Muy Baja",'Mapa final'!$AA$26="Leve"),CONCATENATE("R3C",'Mapa final'!$O$26),"")</f>
        <v/>
      </c>
      <c r="O48" s="65" t="str">
        <f>IF(AND('Mapa final'!$Y$27="Muy Baja",'Mapa final'!$AA$27="Leve"),CONCATENATE("R3C",'Mapa final'!$O$27),"")</f>
        <v/>
      </c>
      <c r="P48" s="63" t="str">
        <f>IF(AND('Mapa final'!$Y$22="Muy Baja",'Mapa final'!$AA$22="Menor"),CONCATENATE("R3C",'Mapa final'!$O$22),"")</f>
        <v/>
      </c>
      <c r="Q48" s="64" t="str">
        <f>IF(AND('Mapa final'!$Y$23="Muy Baja",'Mapa final'!$AA$23="Menor"),CONCATENATE("R3C",'Mapa final'!$O$23),"")</f>
        <v/>
      </c>
      <c r="R48" s="64" t="str">
        <f>IF(AND('Mapa final'!$Y$24="Muy Baja",'Mapa final'!$AA$24="Menor"),CONCATENATE("R3C",'Mapa final'!$O$24),"")</f>
        <v/>
      </c>
      <c r="S48" s="64" t="str">
        <f>IF(AND('Mapa final'!$Y$25="Muy Baja",'Mapa final'!$AA$25="Menor"),CONCATENATE("R3C",'Mapa final'!$O$25),"")</f>
        <v/>
      </c>
      <c r="T48" s="64" t="str">
        <f>IF(AND('Mapa final'!$Y$26="Muy Baja",'Mapa final'!$AA$26="Menor"),CONCATENATE("R3C",'Mapa final'!$O$26),"")</f>
        <v/>
      </c>
      <c r="U48" s="65" t="str">
        <f>IF(AND('Mapa final'!$Y$27="Muy Baja",'Mapa final'!$AA$27="Menor"),CONCATENATE("R3C",'Mapa final'!$O$27),"")</f>
        <v/>
      </c>
      <c r="V48" s="54" t="str">
        <f>IF(AND('Mapa final'!$Y$22="Muy Baja",'Mapa final'!$AA$22="Moderado"),CONCATENATE("R3C",'Mapa final'!$O$22),"")</f>
        <v/>
      </c>
      <c r="W48" s="55" t="str">
        <f>IF(AND('Mapa final'!$Y$23="Muy Baja",'Mapa final'!$AA$23="Moderado"),CONCATENATE("R3C",'Mapa final'!$O$23),"")</f>
        <v/>
      </c>
      <c r="X48" s="55" t="str">
        <f>IF(AND('Mapa final'!$Y$24="Muy Baja",'Mapa final'!$AA$24="Moderado"),CONCATENATE("R3C",'Mapa final'!$O$24),"")</f>
        <v/>
      </c>
      <c r="Y48" s="55" t="str">
        <f>IF(AND('Mapa final'!$Y$25="Muy Baja",'Mapa final'!$AA$25="Moderado"),CONCATENATE("R3C",'Mapa final'!$O$25),"")</f>
        <v/>
      </c>
      <c r="Z48" s="55" t="str">
        <f>IF(AND('Mapa final'!$Y$26="Muy Baja",'Mapa final'!$AA$26="Moderado"),CONCATENATE("R3C",'Mapa final'!$O$26),"")</f>
        <v/>
      </c>
      <c r="AA48" s="56" t="str">
        <f>IF(AND('Mapa final'!$Y$27="Muy Baja",'Mapa final'!$AA$27="Moderado"),CONCATENATE("R3C",'Mapa final'!$O$27),"")</f>
        <v/>
      </c>
      <c r="AB48" s="38" t="str">
        <f>IF(AND('Mapa final'!$Y$22="Muy Baja",'Mapa final'!$AA$22="Mayor"),CONCATENATE("R3C",'Mapa final'!$O$22),"")</f>
        <v/>
      </c>
      <c r="AC48" s="39" t="str">
        <f>IF(AND('Mapa final'!$Y$23="Muy Baja",'Mapa final'!$AA$23="Mayor"),CONCATENATE("R3C",'Mapa final'!$O$23),"")</f>
        <v/>
      </c>
      <c r="AD48" s="39" t="str">
        <f>IF(AND('Mapa final'!$Y$24="Muy Baja",'Mapa final'!$AA$24="Mayor"),CONCATENATE("R3C",'Mapa final'!$O$24),"")</f>
        <v/>
      </c>
      <c r="AE48" s="39" t="str">
        <f>IF(AND('Mapa final'!$Y$25="Muy Baja",'Mapa final'!$AA$25="Mayor"),CONCATENATE("R3C",'Mapa final'!$O$25),"")</f>
        <v/>
      </c>
      <c r="AF48" s="39" t="str">
        <f>IF(AND('Mapa final'!$Y$26="Muy Baja",'Mapa final'!$AA$26="Mayor"),CONCATENATE("R3C",'Mapa final'!$O$26),"")</f>
        <v/>
      </c>
      <c r="AG48" s="40" t="str">
        <f>IF(AND('Mapa final'!$Y$27="Muy Baja",'Mapa final'!$AA$27="Mayor"),CONCATENATE("R3C",'Mapa final'!$O$27),"")</f>
        <v/>
      </c>
      <c r="AH48" s="41" t="str">
        <f>IF(AND('Mapa final'!$Y$22="Muy Baja",'Mapa final'!$AA$22="Catastrófico"),CONCATENATE("R3C",'Mapa final'!$O$22),"")</f>
        <v/>
      </c>
      <c r="AI48" s="42" t="str">
        <f>IF(AND('Mapa final'!$Y$23="Muy Baja",'Mapa final'!$AA$23="Catastrófico"),CONCATENATE("R3C",'Mapa final'!$O$23),"")</f>
        <v/>
      </c>
      <c r="AJ48" s="42" t="str">
        <f>IF(AND('Mapa final'!$Y$24="Muy Baja",'Mapa final'!$AA$24="Catastrófico"),CONCATENATE("R3C",'Mapa final'!$O$24),"")</f>
        <v/>
      </c>
      <c r="AK48" s="42" t="str">
        <f>IF(AND('Mapa final'!$Y$25="Muy Baja",'Mapa final'!$AA$25="Catastrófico"),CONCATENATE("R3C",'Mapa final'!$O$25),"")</f>
        <v/>
      </c>
      <c r="AL48" s="42" t="str">
        <f>IF(AND('Mapa final'!$Y$26="Muy Baja",'Mapa final'!$AA$26="Catastrófico"),CONCATENATE("R3C",'Mapa final'!$O$26),"")</f>
        <v/>
      </c>
      <c r="AM48" s="43" t="str">
        <f>IF(AND('Mapa final'!$Y$27="Muy Baja",'Mapa final'!$AA$27="Catastrófico"),CONCATENATE("R3C",'Mapa final'!$O$27),"")</f>
        <v/>
      </c>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ht="15" customHeight="1" x14ac:dyDescent="0.25">
      <c r="A49" s="70"/>
      <c r="B49" s="360"/>
      <c r="C49" s="360"/>
      <c r="D49" s="361"/>
      <c r="E49" s="401"/>
      <c r="F49" s="402"/>
      <c r="G49" s="402"/>
      <c r="H49" s="402"/>
      <c r="I49" s="403"/>
      <c r="J49" s="63" t="str">
        <f>IF(AND('Mapa final'!$Y$28="Muy Baja",'Mapa final'!$AA$28="Leve"),CONCATENATE("R4C",'Mapa final'!$O$28),"")</f>
        <v/>
      </c>
      <c r="K49" s="64" t="str">
        <f>IF(AND('Mapa final'!$Y$29="Muy Baja",'Mapa final'!$AA$29="Leve"),CONCATENATE("R4C",'Mapa final'!$O$29),"")</f>
        <v/>
      </c>
      <c r="L49" s="64" t="str">
        <f>IF(AND('Mapa final'!$Y$30="Muy Baja",'Mapa final'!$AA$30="Leve"),CONCATENATE("R4C",'Mapa final'!$O$30),"")</f>
        <v/>
      </c>
      <c r="M49" s="64" t="str">
        <f>IF(AND('Mapa final'!$Y$31="Muy Baja",'Mapa final'!$AA$31="Leve"),CONCATENATE("R4C",'Mapa final'!$O$31),"")</f>
        <v/>
      </c>
      <c r="N49" s="64" t="str">
        <f>IF(AND('Mapa final'!$Y$32="Muy Baja",'Mapa final'!$AA$32="Leve"),CONCATENATE("R4C",'Mapa final'!$O$32),"")</f>
        <v/>
      </c>
      <c r="O49" s="65" t="str">
        <f>IF(AND('Mapa final'!$Y$33="Muy Baja",'Mapa final'!$AA$33="Leve"),CONCATENATE("R4C",'Mapa final'!$O$33),"")</f>
        <v/>
      </c>
      <c r="P49" s="63" t="str">
        <f>IF(AND('Mapa final'!$Y$28="Muy Baja",'Mapa final'!$AA$28="Menor"),CONCATENATE("R4C",'Mapa final'!$O$28),"")</f>
        <v/>
      </c>
      <c r="Q49" s="64" t="str">
        <f>IF(AND('Mapa final'!$Y$29="Muy Baja",'Mapa final'!$AA$29="Menor"),CONCATENATE("R4C",'Mapa final'!$O$29),"")</f>
        <v/>
      </c>
      <c r="R49" s="64" t="str">
        <f>IF(AND('Mapa final'!$Y$30="Muy Baja",'Mapa final'!$AA$30="Menor"),CONCATENATE("R4C",'Mapa final'!$O$30),"")</f>
        <v/>
      </c>
      <c r="S49" s="64" t="str">
        <f>IF(AND('Mapa final'!$Y$31="Muy Baja",'Mapa final'!$AA$31="Menor"),CONCATENATE("R4C",'Mapa final'!$O$31),"")</f>
        <v/>
      </c>
      <c r="T49" s="64" t="str">
        <f>IF(AND('Mapa final'!$Y$32="Muy Baja",'Mapa final'!$AA$32="Menor"),CONCATENATE("R4C",'Mapa final'!$O$32),"")</f>
        <v/>
      </c>
      <c r="U49" s="65" t="str">
        <f>IF(AND('Mapa final'!$Y$33="Muy Baja",'Mapa final'!$AA$33="Menor"),CONCATENATE("R4C",'Mapa final'!$O$33),"")</f>
        <v/>
      </c>
      <c r="V49" s="54" t="str">
        <f>IF(AND('Mapa final'!$Y$28="Muy Baja",'Mapa final'!$AA$28="Moderado"),CONCATENATE("R4C",'Mapa final'!$O$28),"")</f>
        <v/>
      </c>
      <c r="W49" s="55" t="str">
        <f>IF(AND('Mapa final'!$Y$29="Muy Baja",'Mapa final'!$AA$29="Moderado"),CONCATENATE("R4C",'Mapa final'!$O$29),"")</f>
        <v/>
      </c>
      <c r="X49" s="55" t="str">
        <f>IF(AND('Mapa final'!$Y$30="Muy Baja",'Mapa final'!$AA$30="Moderado"),CONCATENATE("R4C",'Mapa final'!$O$30),"")</f>
        <v/>
      </c>
      <c r="Y49" s="55" t="str">
        <f>IF(AND('Mapa final'!$Y$31="Muy Baja",'Mapa final'!$AA$31="Moderado"),CONCATENATE("R4C",'Mapa final'!$O$31),"")</f>
        <v/>
      </c>
      <c r="Z49" s="55" t="str">
        <f>IF(AND('Mapa final'!$Y$32="Muy Baja",'Mapa final'!$AA$32="Moderado"),CONCATENATE("R4C",'Mapa final'!$O$32),"")</f>
        <v/>
      </c>
      <c r="AA49" s="56" t="str">
        <f>IF(AND('Mapa final'!$Y$33="Muy Baja",'Mapa final'!$AA$33="Moderado"),CONCATENATE("R4C",'Mapa final'!$O$33),"")</f>
        <v/>
      </c>
      <c r="AB49" s="38" t="str">
        <f>IF(AND('Mapa final'!$Y$28="Muy Baja",'Mapa final'!$AA$28="Mayor"),CONCATENATE("R4C",'Mapa final'!$O$28),"")</f>
        <v/>
      </c>
      <c r="AC49" s="39" t="str">
        <f>IF(AND('Mapa final'!$Y$29="Muy Baja",'Mapa final'!$AA$29="Mayor"),CONCATENATE("R4C",'Mapa final'!$O$29),"")</f>
        <v/>
      </c>
      <c r="AD49" s="39" t="str">
        <f>IF(AND('Mapa final'!$Y$30="Muy Baja",'Mapa final'!$AA$30="Mayor"),CONCATENATE("R4C",'Mapa final'!$O$30),"")</f>
        <v/>
      </c>
      <c r="AE49" s="39" t="str">
        <f>IF(AND('Mapa final'!$Y$31="Muy Baja",'Mapa final'!$AA$31="Mayor"),CONCATENATE("R4C",'Mapa final'!$O$31),"")</f>
        <v/>
      </c>
      <c r="AF49" s="39" t="str">
        <f>IF(AND('Mapa final'!$Y$32="Muy Baja",'Mapa final'!$AA$32="Mayor"),CONCATENATE("R4C",'Mapa final'!$O$32),"")</f>
        <v/>
      </c>
      <c r="AG49" s="40" t="str">
        <f>IF(AND('Mapa final'!$Y$33="Muy Baja",'Mapa final'!$AA$33="Mayor"),CONCATENATE("R4C",'Mapa final'!$O$33),"")</f>
        <v/>
      </c>
      <c r="AH49" s="41" t="str">
        <f>IF(AND('Mapa final'!$Y$28="Muy Baja",'Mapa final'!$AA$28="Catastrófico"),CONCATENATE("R4C",'Mapa final'!$O$28),"")</f>
        <v/>
      </c>
      <c r="AI49" s="42" t="str">
        <f>IF(AND('Mapa final'!$Y$29="Muy Baja",'Mapa final'!$AA$29="Catastrófico"),CONCATENATE("R4C",'Mapa final'!$O$29),"")</f>
        <v/>
      </c>
      <c r="AJ49" s="42" t="str">
        <f>IF(AND('Mapa final'!$Y$30="Muy Baja",'Mapa final'!$AA$30="Catastrófico"),CONCATENATE("R4C",'Mapa final'!$O$30),"")</f>
        <v/>
      </c>
      <c r="AK49" s="42" t="str">
        <f>IF(AND('Mapa final'!$Y$31="Muy Baja",'Mapa final'!$AA$31="Catastrófico"),CONCATENATE("R4C",'Mapa final'!$O$31),"")</f>
        <v/>
      </c>
      <c r="AL49" s="42" t="str">
        <f>IF(AND('Mapa final'!$Y$32="Muy Baja",'Mapa final'!$AA$32="Catastrófico"),CONCATENATE("R4C",'Mapa final'!$O$32),"")</f>
        <v/>
      </c>
      <c r="AM49" s="43" t="str">
        <f>IF(AND('Mapa final'!$Y$33="Muy Baja",'Mapa final'!$AA$33="Catastrófico"),CONCATENATE("R4C",'Mapa final'!$O$33),"")</f>
        <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ht="15" customHeight="1" x14ac:dyDescent="0.25">
      <c r="A50" s="70"/>
      <c r="B50" s="360"/>
      <c r="C50" s="360"/>
      <c r="D50" s="361"/>
      <c r="E50" s="401"/>
      <c r="F50" s="402"/>
      <c r="G50" s="402"/>
      <c r="H50" s="402"/>
      <c r="I50" s="403"/>
      <c r="J50" s="63" t="str">
        <f>IF(AND('Mapa final'!$Y$34="Muy Baja",'Mapa final'!$AA$34="Leve"),CONCATENATE("R5C",'Mapa final'!$O$34),"")</f>
        <v/>
      </c>
      <c r="K50" s="64" t="str">
        <f>IF(AND('Mapa final'!$Y$35="Muy Baja",'Mapa final'!$AA$35="Leve"),CONCATENATE("R5C",'Mapa final'!$O$35),"")</f>
        <v/>
      </c>
      <c r="L50" s="64" t="str">
        <f>IF(AND('Mapa final'!$Y$36="Muy Baja",'Mapa final'!$AA$36="Leve"),CONCATENATE("R5C",'Mapa final'!$O$36),"")</f>
        <v/>
      </c>
      <c r="M50" s="64" t="str">
        <f>IF(AND('Mapa final'!$Y$37="Muy Baja",'Mapa final'!$AA$37="Leve"),CONCATENATE("R5C",'Mapa final'!$O$37),"")</f>
        <v/>
      </c>
      <c r="N50" s="64" t="str">
        <f>IF(AND('Mapa final'!$Y$38="Muy Baja",'Mapa final'!$AA$38="Leve"),CONCATENATE("R5C",'Mapa final'!$O$38),"")</f>
        <v/>
      </c>
      <c r="O50" s="65" t="str">
        <f>IF(AND('Mapa final'!$Y$39="Muy Baja",'Mapa final'!$AA$39="Leve"),CONCATENATE("R5C",'Mapa final'!$O$39),"")</f>
        <v/>
      </c>
      <c r="P50" s="63" t="str">
        <f>IF(AND('Mapa final'!$Y$34="Muy Baja",'Mapa final'!$AA$34="Menor"),CONCATENATE("R5C",'Mapa final'!$O$34),"")</f>
        <v/>
      </c>
      <c r="Q50" s="64" t="str">
        <f>IF(AND('Mapa final'!$Y$35="Muy Baja",'Mapa final'!$AA$35="Menor"),CONCATENATE("R5C",'Mapa final'!$O$35),"")</f>
        <v/>
      </c>
      <c r="R50" s="64" t="str">
        <f>IF(AND('Mapa final'!$Y$36="Muy Baja",'Mapa final'!$AA$36="Menor"),CONCATENATE("R5C",'Mapa final'!$O$36),"")</f>
        <v/>
      </c>
      <c r="S50" s="64" t="str">
        <f>IF(AND('Mapa final'!$Y$37="Muy Baja",'Mapa final'!$AA$37="Menor"),CONCATENATE("R5C",'Mapa final'!$O$37),"")</f>
        <v/>
      </c>
      <c r="T50" s="64" t="str">
        <f>IF(AND('Mapa final'!$Y$38="Muy Baja",'Mapa final'!$AA$38="Menor"),CONCATENATE("R5C",'Mapa final'!$O$38),"")</f>
        <v/>
      </c>
      <c r="U50" s="65" t="str">
        <f>IF(AND('Mapa final'!$Y$39="Muy Baja",'Mapa final'!$AA$39="Menor"),CONCATENATE("R5C",'Mapa final'!$O$39),"")</f>
        <v/>
      </c>
      <c r="V50" s="54" t="str">
        <f>IF(AND('Mapa final'!$Y$34="Muy Baja",'Mapa final'!$AA$34="Moderado"),CONCATENATE("R5C",'Mapa final'!$O$34),"")</f>
        <v/>
      </c>
      <c r="W50" s="55" t="str">
        <f>IF(AND('Mapa final'!$Y$35="Muy Baja",'Mapa final'!$AA$35="Moderado"),CONCATENATE("R5C",'Mapa final'!$O$35),"")</f>
        <v/>
      </c>
      <c r="X50" s="55" t="str">
        <f>IF(AND('Mapa final'!$Y$36="Muy Baja",'Mapa final'!$AA$36="Moderado"),CONCATENATE("R5C",'Mapa final'!$O$36),"")</f>
        <v/>
      </c>
      <c r="Y50" s="55" t="str">
        <f>IF(AND('Mapa final'!$Y$37="Muy Baja",'Mapa final'!$AA$37="Moderado"),CONCATENATE("R5C",'Mapa final'!$O$37),"")</f>
        <v/>
      </c>
      <c r="Z50" s="55" t="str">
        <f>IF(AND('Mapa final'!$Y$38="Muy Baja",'Mapa final'!$AA$38="Moderado"),CONCATENATE("R5C",'Mapa final'!$O$38),"")</f>
        <v/>
      </c>
      <c r="AA50" s="56" t="str">
        <f>IF(AND('Mapa final'!$Y$39="Muy Baja",'Mapa final'!$AA$39="Moderado"),CONCATENATE("R5C",'Mapa final'!$O$39),"")</f>
        <v/>
      </c>
      <c r="AB50" s="38" t="str">
        <f>IF(AND('Mapa final'!$Y$34="Muy Baja",'Mapa final'!$AA$34="Mayor"),CONCATENATE("R5C",'Mapa final'!$O$34),"")</f>
        <v/>
      </c>
      <c r="AC50" s="39" t="str">
        <f>IF(AND('Mapa final'!$Y$35="Muy Baja",'Mapa final'!$AA$35="Mayor"),CONCATENATE("R5C",'Mapa final'!$O$35),"")</f>
        <v/>
      </c>
      <c r="AD50" s="44" t="str">
        <f>IF(AND('Mapa final'!$Y$36="Muy Baja",'Mapa final'!$AA$36="Mayor"),CONCATENATE("R5C",'Mapa final'!$O$36),"")</f>
        <v/>
      </c>
      <c r="AE50" s="44" t="str">
        <f>IF(AND('Mapa final'!$Y$37="Muy Baja",'Mapa final'!$AA$37="Mayor"),CONCATENATE("R5C",'Mapa final'!$O$37),"")</f>
        <v/>
      </c>
      <c r="AF50" s="44" t="str">
        <f>IF(AND('Mapa final'!$Y$38="Muy Baja",'Mapa final'!$AA$38="Mayor"),CONCATENATE("R5C",'Mapa final'!$O$38),"")</f>
        <v/>
      </c>
      <c r="AG50" s="40" t="str">
        <f>IF(AND('Mapa final'!$Y$39="Muy Baja",'Mapa final'!$AA$39="Mayor"),CONCATENATE("R5C",'Mapa final'!$O$39),"")</f>
        <v/>
      </c>
      <c r="AH50" s="41" t="str">
        <f>IF(AND('Mapa final'!$Y$34="Muy Baja",'Mapa final'!$AA$34="Catastrófico"),CONCATENATE("R5C",'Mapa final'!$O$34),"")</f>
        <v/>
      </c>
      <c r="AI50" s="42" t="str">
        <f>IF(AND('Mapa final'!$Y$35="Muy Baja",'Mapa final'!$AA$35="Catastrófico"),CONCATENATE("R5C",'Mapa final'!$O$35),"")</f>
        <v/>
      </c>
      <c r="AJ50" s="42" t="str">
        <f>IF(AND('Mapa final'!$Y$36="Muy Baja",'Mapa final'!$AA$36="Catastrófico"),CONCATENATE("R5C",'Mapa final'!$O$36),"")</f>
        <v/>
      </c>
      <c r="AK50" s="42" t="str">
        <f>IF(AND('Mapa final'!$Y$37="Muy Baja",'Mapa final'!$AA$37="Catastrófico"),CONCATENATE("R5C",'Mapa final'!$O$37),"")</f>
        <v/>
      </c>
      <c r="AL50" s="42" t="str">
        <f>IF(AND('Mapa final'!$Y$38="Muy Baja",'Mapa final'!$AA$38="Catastrófico"),CONCATENATE("R5C",'Mapa final'!$O$38),"")</f>
        <v/>
      </c>
      <c r="AM50" s="43" t="str">
        <f>IF(AND('Mapa final'!$Y$39="Muy Baja",'Mapa final'!$AA$39="Catastrófico"),CONCATENATE("R5C",'Mapa final'!$O$39),"")</f>
        <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customHeight="1" x14ac:dyDescent="0.25">
      <c r="A51" s="70"/>
      <c r="B51" s="360"/>
      <c r="C51" s="360"/>
      <c r="D51" s="361"/>
      <c r="E51" s="401"/>
      <c r="F51" s="402"/>
      <c r="G51" s="402"/>
      <c r="H51" s="402"/>
      <c r="I51" s="403"/>
      <c r="J51" s="63" t="str">
        <f>IF(AND('Mapa final'!$Y$40="Muy Baja",'Mapa final'!$AA$40="Leve"),CONCATENATE("R6C",'Mapa final'!$O$40),"")</f>
        <v/>
      </c>
      <c r="K51" s="64" t="str">
        <f>IF(AND('Mapa final'!$Y$41="Muy Baja",'Mapa final'!$AA$41="Leve"),CONCATENATE("R6C",'Mapa final'!$O$41),"")</f>
        <v/>
      </c>
      <c r="L51" s="64" t="str">
        <f>IF(AND('Mapa final'!$Y$42="Muy Baja",'Mapa final'!$AA$42="Leve"),CONCATENATE("R6C",'Mapa final'!$O$42),"")</f>
        <v/>
      </c>
      <c r="M51" s="64" t="str">
        <f>IF(AND('Mapa final'!$Y$43="Muy Baja",'Mapa final'!$AA$43="Leve"),CONCATENATE("R6C",'Mapa final'!$O$43),"")</f>
        <v/>
      </c>
      <c r="N51" s="64" t="str">
        <f>IF(AND('Mapa final'!$Y$44="Muy Baja",'Mapa final'!$AA$44="Leve"),CONCATENATE("R6C",'Mapa final'!$O$44),"")</f>
        <v/>
      </c>
      <c r="O51" s="65" t="str">
        <f>IF(AND('Mapa final'!$Y$45="Muy Baja",'Mapa final'!$AA$45="Leve"),CONCATENATE("R6C",'Mapa final'!$O$45),"")</f>
        <v/>
      </c>
      <c r="P51" s="63" t="str">
        <f>IF(AND('Mapa final'!$Y$40="Muy Baja",'Mapa final'!$AA$40="Menor"),CONCATENATE("R6C",'Mapa final'!$O$40),"")</f>
        <v/>
      </c>
      <c r="Q51" s="64" t="str">
        <f>IF(AND('Mapa final'!$Y$41="Muy Baja",'Mapa final'!$AA$41="Menor"),CONCATENATE("R6C",'Mapa final'!$O$41),"")</f>
        <v/>
      </c>
      <c r="R51" s="64" t="str">
        <f>IF(AND('Mapa final'!$Y$42="Muy Baja",'Mapa final'!$AA$42="Menor"),CONCATENATE("R6C",'Mapa final'!$O$42),"")</f>
        <v/>
      </c>
      <c r="S51" s="64" t="str">
        <f>IF(AND('Mapa final'!$Y$43="Muy Baja",'Mapa final'!$AA$43="Menor"),CONCATENATE("R6C",'Mapa final'!$O$43),"")</f>
        <v/>
      </c>
      <c r="T51" s="64" t="str">
        <f>IF(AND('Mapa final'!$Y$44="Muy Baja",'Mapa final'!$AA$44="Menor"),CONCATENATE("R6C",'Mapa final'!$O$44),"")</f>
        <v/>
      </c>
      <c r="U51" s="65" t="str">
        <f>IF(AND('Mapa final'!$Y$45="Muy Baja",'Mapa final'!$AA$45="Menor"),CONCATENATE("R6C",'Mapa final'!$O$45),"")</f>
        <v/>
      </c>
      <c r="V51" s="54" t="str">
        <f>IF(AND('Mapa final'!$Y$40="Muy Baja",'Mapa final'!$AA$40="Moderado"),CONCATENATE("R6C",'Mapa final'!$O$40),"")</f>
        <v/>
      </c>
      <c r="W51" s="55" t="str">
        <f>IF(AND('Mapa final'!$Y$41="Muy Baja",'Mapa final'!$AA$41="Moderado"),CONCATENATE("R6C",'Mapa final'!$O$41),"")</f>
        <v/>
      </c>
      <c r="X51" s="55" t="str">
        <f>IF(AND('Mapa final'!$Y$42="Muy Baja",'Mapa final'!$AA$42="Moderado"),CONCATENATE("R6C",'Mapa final'!$O$42),"")</f>
        <v/>
      </c>
      <c r="Y51" s="55" t="str">
        <f>IF(AND('Mapa final'!$Y$43="Muy Baja",'Mapa final'!$AA$43="Moderado"),CONCATENATE("R6C",'Mapa final'!$O$43),"")</f>
        <v/>
      </c>
      <c r="Z51" s="55" t="str">
        <f>IF(AND('Mapa final'!$Y$44="Muy Baja",'Mapa final'!$AA$44="Moderado"),CONCATENATE("R6C",'Mapa final'!$O$44),"")</f>
        <v/>
      </c>
      <c r="AA51" s="56" t="str">
        <f>IF(AND('Mapa final'!$Y$45="Muy Baja",'Mapa final'!$AA$45="Moderado"),CONCATENATE("R6C",'Mapa final'!$O$45),"")</f>
        <v/>
      </c>
      <c r="AB51" s="38" t="str">
        <f>IF(AND('Mapa final'!$Y$40="Muy Baja",'Mapa final'!$AA$40="Mayor"),CONCATENATE("R6C",'Mapa final'!$O$40),"")</f>
        <v/>
      </c>
      <c r="AC51" s="39" t="str">
        <f>IF(AND('Mapa final'!$Y$41="Muy Baja",'Mapa final'!$AA$41="Mayor"),CONCATENATE("R6C",'Mapa final'!$O$41),"")</f>
        <v/>
      </c>
      <c r="AD51" s="44" t="str">
        <f>IF(AND('Mapa final'!$Y$42="Muy Baja",'Mapa final'!$AA$42="Mayor"),CONCATENATE("R6C",'Mapa final'!$O$42),"")</f>
        <v/>
      </c>
      <c r="AE51" s="44" t="str">
        <f>IF(AND('Mapa final'!$Y$43="Muy Baja",'Mapa final'!$AA$43="Mayor"),CONCATENATE("R6C",'Mapa final'!$O$43),"")</f>
        <v/>
      </c>
      <c r="AF51" s="44" t="str">
        <f>IF(AND('Mapa final'!$Y$44="Muy Baja",'Mapa final'!$AA$44="Mayor"),CONCATENATE("R6C",'Mapa final'!$O$44),"")</f>
        <v/>
      </c>
      <c r="AG51" s="40" t="str">
        <f>IF(AND('Mapa final'!$Y$45="Muy Baja",'Mapa final'!$AA$45="Mayor"),CONCATENATE("R6C",'Mapa final'!$O$45),"")</f>
        <v/>
      </c>
      <c r="AH51" s="41" t="str">
        <f>IF(AND('Mapa final'!$Y$40="Muy Baja",'Mapa final'!$AA$40="Catastrófico"),CONCATENATE("R6C",'Mapa final'!$O$40),"")</f>
        <v/>
      </c>
      <c r="AI51" s="42" t="str">
        <f>IF(AND('Mapa final'!$Y$41="Muy Baja",'Mapa final'!$AA$41="Catastrófico"),CONCATENATE("R6C",'Mapa final'!$O$41),"")</f>
        <v/>
      </c>
      <c r="AJ51" s="42" t="str">
        <f>IF(AND('Mapa final'!$Y$42="Muy Baja",'Mapa final'!$AA$42="Catastrófico"),CONCATENATE("R6C",'Mapa final'!$O$42),"")</f>
        <v/>
      </c>
      <c r="AK51" s="42" t="str">
        <f>IF(AND('Mapa final'!$Y$43="Muy Baja",'Mapa final'!$AA$43="Catastrófico"),CONCATENATE("R6C",'Mapa final'!$O$43),"")</f>
        <v/>
      </c>
      <c r="AL51" s="42" t="str">
        <f>IF(AND('Mapa final'!$Y$44="Muy Baja",'Mapa final'!$AA$44="Catastrófico"),CONCATENATE("R6C",'Mapa final'!$O$44),"")</f>
        <v/>
      </c>
      <c r="AM51" s="43" t="str">
        <f>IF(AND('Mapa final'!$Y$45="Muy Baja",'Mapa final'!$AA$45="Catastrófico"),CONCATENATE("R6C",'Mapa final'!$O$45),"")</f>
        <v/>
      </c>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ht="15" customHeight="1" x14ac:dyDescent="0.25">
      <c r="A52" s="70"/>
      <c r="B52" s="360"/>
      <c r="C52" s="360"/>
      <c r="D52" s="361"/>
      <c r="E52" s="401"/>
      <c r="F52" s="402"/>
      <c r="G52" s="402"/>
      <c r="H52" s="402"/>
      <c r="I52" s="403"/>
      <c r="J52" s="63" t="str">
        <f>IF(AND('Mapa final'!$Y$46="Muy Baja",'Mapa final'!$AA$46="Leve"),CONCATENATE("R7C",'Mapa final'!$O$46),"")</f>
        <v/>
      </c>
      <c r="K52" s="64" t="str">
        <f>IF(AND('Mapa final'!$Y$47="Muy Baja",'Mapa final'!$AA$47="Leve"),CONCATENATE("R7C",'Mapa final'!$O$47),"")</f>
        <v/>
      </c>
      <c r="L52" s="64" t="str">
        <f>IF(AND('Mapa final'!$Y$48="Muy Baja",'Mapa final'!$AA$48="Leve"),CONCATENATE("R7C",'Mapa final'!$O$48),"")</f>
        <v/>
      </c>
      <c r="M52" s="64" t="str">
        <f>IF(AND('Mapa final'!$Y$49="Muy Baja",'Mapa final'!$AA$49="Leve"),CONCATENATE("R7C",'Mapa final'!$O$49),"")</f>
        <v/>
      </c>
      <c r="N52" s="64" t="str">
        <f>IF(AND('Mapa final'!$Y$50="Muy Baja",'Mapa final'!$AA$50="Leve"),CONCATENATE("R7C",'Mapa final'!$O$50),"")</f>
        <v/>
      </c>
      <c r="O52" s="65" t="str">
        <f>IF(AND('Mapa final'!$Y$51="Muy Baja",'Mapa final'!$AA$51="Leve"),CONCATENATE("R7C",'Mapa final'!$O$51),"")</f>
        <v/>
      </c>
      <c r="P52" s="63" t="str">
        <f>IF(AND('Mapa final'!$Y$46="Muy Baja",'Mapa final'!$AA$46="Menor"),CONCATENATE("R7C",'Mapa final'!$O$46),"")</f>
        <v/>
      </c>
      <c r="Q52" s="64" t="str">
        <f>IF(AND('Mapa final'!$Y$47="Muy Baja",'Mapa final'!$AA$47="Menor"),CONCATENATE("R7C",'Mapa final'!$O$47),"")</f>
        <v/>
      </c>
      <c r="R52" s="64" t="str">
        <f>IF(AND('Mapa final'!$Y$48="Muy Baja",'Mapa final'!$AA$48="Menor"),CONCATENATE("R7C",'Mapa final'!$O$48),"")</f>
        <v/>
      </c>
      <c r="S52" s="64" t="str">
        <f>IF(AND('Mapa final'!$Y$49="Muy Baja",'Mapa final'!$AA$49="Menor"),CONCATENATE("R7C",'Mapa final'!$O$49),"")</f>
        <v/>
      </c>
      <c r="T52" s="64" t="str">
        <f>IF(AND('Mapa final'!$Y$50="Muy Baja",'Mapa final'!$AA$50="Menor"),CONCATENATE("R7C",'Mapa final'!$O$50),"")</f>
        <v/>
      </c>
      <c r="U52" s="65" t="str">
        <f>IF(AND('Mapa final'!$Y$51="Muy Baja",'Mapa final'!$AA$51="Menor"),CONCATENATE("R7C",'Mapa final'!$O$51),"")</f>
        <v/>
      </c>
      <c r="V52" s="54" t="str">
        <f>IF(AND('Mapa final'!$Y$46="Muy Baja",'Mapa final'!$AA$46="Moderado"),CONCATENATE("R7C",'Mapa final'!$O$46),"")</f>
        <v/>
      </c>
      <c r="W52" s="55" t="str">
        <f>IF(AND('Mapa final'!$Y$47="Muy Baja",'Mapa final'!$AA$47="Moderado"),CONCATENATE("R7C",'Mapa final'!$O$47),"")</f>
        <v/>
      </c>
      <c r="X52" s="55" t="str">
        <f>IF(AND('Mapa final'!$Y$48="Muy Baja",'Mapa final'!$AA$48="Moderado"),CONCATENATE("R7C",'Mapa final'!$O$48),"")</f>
        <v/>
      </c>
      <c r="Y52" s="55" t="str">
        <f>IF(AND('Mapa final'!$Y$49="Muy Baja",'Mapa final'!$AA$49="Moderado"),CONCATENATE("R7C",'Mapa final'!$O$49),"")</f>
        <v/>
      </c>
      <c r="Z52" s="55" t="str">
        <f>IF(AND('Mapa final'!$Y$50="Muy Baja",'Mapa final'!$AA$50="Moderado"),CONCATENATE("R7C",'Mapa final'!$O$50),"")</f>
        <v/>
      </c>
      <c r="AA52" s="56" t="str">
        <f>IF(AND('Mapa final'!$Y$51="Muy Baja",'Mapa final'!$AA$51="Moderado"),CONCATENATE("R7C",'Mapa final'!$O$51),"")</f>
        <v/>
      </c>
      <c r="AB52" s="38" t="str">
        <f>IF(AND('Mapa final'!$Y$46="Muy Baja",'Mapa final'!$AA$46="Mayor"),CONCATENATE("R7C",'Mapa final'!$O$46),"")</f>
        <v/>
      </c>
      <c r="AC52" s="39" t="str">
        <f>IF(AND('Mapa final'!$Y$47="Muy Baja",'Mapa final'!$AA$47="Mayor"),CONCATENATE("R7C",'Mapa final'!$O$47),"")</f>
        <v/>
      </c>
      <c r="AD52" s="44" t="str">
        <f>IF(AND('Mapa final'!$Y$48="Muy Baja",'Mapa final'!$AA$48="Mayor"),CONCATENATE("R7C",'Mapa final'!$O$48),"")</f>
        <v/>
      </c>
      <c r="AE52" s="44" t="str">
        <f>IF(AND('Mapa final'!$Y$49="Muy Baja",'Mapa final'!$AA$49="Mayor"),CONCATENATE("R7C",'Mapa final'!$O$49),"")</f>
        <v/>
      </c>
      <c r="AF52" s="44" t="str">
        <f>IF(AND('Mapa final'!$Y$50="Muy Baja",'Mapa final'!$AA$50="Mayor"),CONCATENATE("R7C",'Mapa final'!$O$50),"")</f>
        <v/>
      </c>
      <c r="AG52" s="40" t="str">
        <f>IF(AND('Mapa final'!$Y$51="Muy Baja",'Mapa final'!$AA$51="Mayor"),CONCATENATE("R7C",'Mapa final'!$O$51),"")</f>
        <v/>
      </c>
      <c r="AH52" s="41" t="str">
        <f>IF(AND('Mapa final'!$Y$46="Muy Baja",'Mapa final'!$AA$46="Catastrófico"),CONCATENATE("R7C",'Mapa final'!$O$46),"")</f>
        <v/>
      </c>
      <c r="AI52" s="42" t="str">
        <f>IF(AND('Mapa final'!$Y$47="Muy Baja",'Mapa final'!$AA$47="Catastrófico"),CONCATENATE("R7C",'Mapa final'!$O$47),"")</f>
        <v/>
      </c>
      <c r="AJ52" s="42" t="str">
        <f>IF(AND('Mapa final'!$Y$48="Muy Baja",'Mapa final'!$AA$48="Catastrófico"),CONCATENATE("R7C",'Mapa final'!$O$48),"")</f>
        <v/>
      </c>
      <c r="AK52" s="42" t="str">
        <f>IF(AND('Mapa final'!$Y$49="Muy Baja",'Mapa final'!$AA$49="Catastrófico"),CONCATENATE("R7C",'Mapa final'!$O$49),"")</f>
        <v/>
      </c>
      <c r="AL52" s="42" t="str">
        <f>IF(AND('Mapa final'!$Y$50="Muy Baja",'Mapa final'!$AA$50="Catastrófico"),CONCATENATE("R7C",'Mapa final'!$O$50),"")</f>
        <v/>
      </c>
      <c r="AM52" s="43" t="str">
        <f>IF(AND('Mapa final'!$Y$51="Muy Baja",'Mapa final'!$AA$51="Catastrófico"),CONCATENATE("R7C",'Mapa final'!$O$51),"")</f>
        <v/>
      </c>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360"/>
      <c r="C53" s="360"/>
      <c r="D53" s="361"/>
      <c r="E53" s="401"/>
      <c r="F53" s="402"/>
      <c r="G53" s="402"/>
      <c r="H53" s="402"/>
      <c r="I53" s="403"/>
      <c r="J53" s="63" t="str">
        <f>IF(AND('Mapa final'!$Y$52="Muy Baja",'Mapa final'!$AA$52="Leve"),CONCATENATE("R8C",'Mapa final'!$O$52),"")</f>
        <v/>
      </c>
      <c r="K53" s="64" t="str">
        <f>IF(AND('Mapa final'!$Y$53="Muy Baja",'Mapa final'!$AA$53="Leve"),CONCATENATE("R8C",'Mapa final'!$O$53),"")</f>
        <v/>
      </c>
      <c r="L53" s="64" t="str">
        <f>IF(AND('Mapa final'!$Y$54="Muy Baja",'Mapa final'!$AA$54="Leve"),CONCATENATE("R8C",'Mapa final'!$O$54),"")</f>
        <v/>
      </c>
      <c r="M53" s="64" t="str">
        <f>IF(AND('Mapa final'!$Y$55="Muy Baja",'Mapa final'!$AA$55="Leve"),CONCATENATE("R8C",'Mapa final'!$O$55),"")</f>
        <v/>
      </c>
      <c r="N53" s="64" t="str">
        <f>IF(AND('Mapa final'!$Y$56="Muy Baja",'Mapa final'!$AA$56="Leve"),CONCATENATE("R8C",'Mapa final'!$O$56),"")</f>
        <v/>
      </c>
      <c r="O53" s="65" t="str">
        <f>IF(AND('Mapa final'!$Y$57="Muy Baja",'Mapa final'!$AA$57="Leve"),CONCATENATE("R8C",'Mapa final'!$O$57),"")</f>
        <v/>
      </c>
      <c r="P53" s="63" t="str">
        <f>IF(AND('Mapa final'!$Y$52="Muy Baja",'Mapa final'!$AA$52="Menor"),CONCATENATE("R8C",'Mapa final'!$O$52),"")</f>
        <v/>
      </c>
      <c r="Q53" s="64" t="str">
        <f>IF(AND('Mapa final'!$Y$53="Muy Baja",'Mapa final'!$AA$53="Menor"),CONCATENATE("R8C",'Mapa final'!$O$53),"")</f>
        <v/>
      </c>
      <c r="R53" s="64" t="str">
        <f>IF(AND('Mapa final'!$Y$54="Muy Baja",'Mapa final'!$AA$54="Menor"),CONCATENATE("R8C",'Mapa final'!$O$54),"")</f>
        <v/>
      </c>
      <c r="S53" s="64" t="str">
        <f>IF(AND('Mapa final'!$Y$55="Muy Baja",'Mapa final'!$AA$55="Menor"),CONCATENATE("R8C",'Mapa final'!$O$55),"")</f>
        <v/>
      </c>
      <c r="T53" s="64" t="str">
        <f>IF(AND('Mapa final'!$Y$56="Muy Baja",'Mapa final'!$AA$56="Menor"),CONCATENATE("R8C",'Mapa final'!$O$56),"")</f>
        <v/>
      </c>
      <c r="U53" s="65" t="str">
        <f>IF(AND('Mapa final'!$Y$57="Muy Baja",'Mapa final'!$AA$57="Menor"),CONCATENATE("R8C",'Mapa final'!$O$57),"")</f>
        <v/>
      </c>
      <c r="V53" s="54" t="str">
        <f>IF(AND('Mapa final'!$Y$52="Muy Baja",'Mapa final'!$AA$52="Moderado"),CONCATENATE("R8C",'Mapa final'!$O$52),"")</f>
        <v/>
      </c>
      <c r="W53" s="55" t="str">
        <f>IF(AND('Mapa final'!$Y$53="Muy Baja",'Mapa final'!$AA$53="Moderado"),CONCATENATE("R8C",'Mapa final'!$O$53),"")</f>
        <v/>
      </c>
      <c r="X53" s="55" t="str">
        <f>IF(AND('Mapa final'!$Y$54="Muy Baja",'Mapa final'!$AA$54="Moderado"),CONCATENATE("R8C",'Mapa final'!$O$54),"")</f>
        <v/>
      </c>
      <c r="Y53" s="55" t="str">
        <f>IF(AND('Mapa final'!$Y$55="Muy Baja",'Mapa final'!$AA$55="Moderado"),CONCATENATE("R8C",'Mapa final'!$O$55),"")</f>
        <v/>
      </c>
      <c r="Z53" s="55" t="str">
        <f>IF(AND('Mapa final'!$Y$56="Muy Baja",'Mapa final'!$AA$56="Moderado"),CONCATENATE("R8C",'Mapa final'!$O$56),"")</f>
        <v/>
      </c>
      <c r="AA53" s="56" t="str">
        <f>IF(AND('Mapa final'!$Y$57="Muy Baja",'Mapa final'!$AA$57="Moderado"),CONCATENATE("R8C",'Mapa final'!$O$57),"")</f>
        <v/>
      </c>
      <c r="AB53" s="38" t="str">
        <f>IF(AND('Mapa final'!$Y$52="Muy Baja",'Mapa final'!$AA$52="Mayor"),CONCATENATE("R8C",'Mapa final'!$O$52),"")</f>
        <v/>
      </c>
      <c r="AC53" s="39" t="str">
        <f>IF(AND('Mapa final'!$Y$53="Muy Baja",'Mapa final'!$AA$53="Mayor"),CONCATENATE("R8C",'Mapa final'!$O$53),"")</f>
        <v/>
      </c>
      <c r="AD53" s="44" t="str">
        <f>IF(AND('Mapa final'!$Y$54="Muy Baja",'Mapa final'!$AA$54="Mayor"),CONCATENATE("R8C",'Mapa final'!$O$54),"")</f>
        <v/>
      </c>
      <c r="AE53" s="44" t="str">
        <f>IF(AND('Mapa final'!$Y$55="Muy Baja",'Mapa final'!$AA$55="Mayor"),CONCATENATE("R8C",'Mapa final'!$O$55),"")</f>
        <v/>
      </c>
      <c r="AF53" s="44" t="str">
        <f>IF(AND('Mapa final'!$Y$56="Muy Baja",'Mapa final'!$AA$56="Mayor"),CONCATENATE("R8C",'Mapa final'!$O$56),"")</f>
        <v/>
      </c>
      <c r="AG53" s="40" t="str">
        <f>IF(AND('Mapa final'!$Y$57="Muy Baja",'Mapa final'!$AA$57="Mayor"),CONCATENATE("R8C",'Mapa final'!$O$57),"")</f>
        <v/>
      </c>
      <c r="AH53" s="41" t="str">
        <f>IF(AND('Mapa final'!$Y$52="Muy Baja",'Mapa final'!$AA$52="Catastrófico"),CONCATENATE("R8C",'Mapa final'!$O$52),"")</f>
        <v/>
      </c>
      <c r="AI53" s="42" t="str">
        <f>IF(AND('Mapa final'!$Y$53="Muy Baja",'Mapa final'!$AA$53="Catastrófico"),CONCATENATE("R8C",'Mapa final'!$O$53),"")</f>
        <v/>
      </c>
      <c r="AJ53" s="42" t="str">
        <f>IF(AND('Mapa final'!$Y$54="Muy Baja",'Mapa final'!$AA$54="Catastrófico"),CONCATENATE("R8C",'Mapa final'!$O$54),"")</f>
        <v/>
      </c>
      <c r="AK53" s="42" t="str">
        <f>IF(AND('Mapa final'!$Y$55="Muy Baja",'Mapa final'!$AA$55="Catastrófico"),CONCATENATE("R8C",'Mapa final'!$O$55),"")</f>
        <v/>
      </c>
      <c r="AL53" s="42" t="str">
        <f>IF(AND('Mapa final'!$Y$56="Muy Baja",'Mapa final'!$AA$56="Catastrófico"),CONCATENATE("R8C",'Mapa final'!$O$56),"")</f>
        <v/>
      </c>
      <c r="AM53" s="43" t="str">
        <f>IF(AND('Mapa final'!$Y$57="Muy Baja",'Mapa final'!$AA$57="Catastrófico"),CONCATENATE("R8C",'Mapa final'!$O$57),"")</f>
        <v/>
      </c>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360"/>
      <c r="C54" s="360"/>
      <c r="D54" s="361"/>
      <c r="E54" s="401"/>
      <c r="F54" s="402"/>
      <c r="G54" s="402"/>
      <c r="H54" s="402"/>
      <c r="I54" s="403"/>
      <c r="J54" s="63" t="str">
        <f>IF(AND('Mapa final'!$Y$58="Muy Baja",'Mapa final'!$AA$58="Leve"),CONCATENATE("R9C",'Mapa final'!$O$58),"")</f>
        <v/>
      </c>
      <c r="K54" s="64" t="str">
        <f>IF(AND('Mapa final'!$Y$59="Muy Baja",'Mapa final'!$AA$59="Leve"),CONCATENATE("R9C",'Mapa final'!$O$59),"")</f>
        <v/>
      </c>
      <c r="L54" s="64" t="str">
        <f>IF(AND('Mapa final'!$Y$60="Muy Baja",'Mapa final'!$AA$60="Leve"),CONCATENATE("R9C",'Mapa final'!$O$60),"")</f>
        <v/>
      </c>
      <c r="M54" s="64" t="str">
        <f>IF(AND('Mapa final'!$Y$61="Muy Baja",'Mapa final'!$AA$61="Leve"),CONCATENATE("R9C",'Mapa final'!$O$61),"")</f>
        <v/>
      </c>
      <c r="N54" s="64" t="str">
        <f>IF(AND('Mapa final'!$Y$62="Muy Baja",'Mapa final'!$AA$62="Leve"),CONCATENATE("R9C",'Mapa final'!$O$62),"")</f>
        <v/>
      </c>
      <c r="O54" s="65" t="str">
        <f>IF(AND('Mapa final'!$Y$63="Muy Baja",'Mapa final'!$AA$63="Leve"),CONCATENATE("R9C",'Mapa final'!$O$63),"")</f>
        <v/>
      </c>
      <c r="P54" s="63" t="str">
        <f>IF(AND('Mapa final'!$Y$58="Muy Baja",'Mapa final'!$AA$58="Menor"),CONCATENATE("R9C",'Mapa final'!$O$58),"")</f>
        <v/>
      </c>
      <c r="Q54" s="64" t="str">
        <f>IF(AND('Mapa final'!$Y$59="Muy Baja",'Mapa final'!$AA$59="Menor"),CONCATENATE("R9C",'Mapa final'!$O$59),"")</f>
        <v/>
      </c>
      <c r="R54" s="64" t="str">
        <f>IF(AND('Mapa final'!$Y$60="Muy Baja",'Mapa final'!$AA$60="Menor"),CONCATENATE("R9C",'Mapa final'!$O$60),"")</f>
        <v/>
      </c>
      <c r="S54" s="64" t="str">
        <f>IF(AND('Mapa final'!$Y$61="Muy Baja",'Mapa final'!$AA$61="Menor"),CONCATENATE("R9C",'Mapa final'!$O$61),"")</f>
        <v/>
      </c>
      <c r="T54" s="64" t="str">
        <f>IF(AND('Mapa final'!$Y$62="Muy Baja",'Mapa final'!$AA$62="Menor"),CONCATENATE("R9C",'Mapa final'!$O$62),"")</f>
        <v/>
      </c>
      <c r="U54" s="65" t="str">
        <f>IF(AND('Mapa final'!$Y$63="Muy Baja",'Mapa final'!$AA$63="Menor"),CONCATENATE("R9C",'Mapa final'!$O$63),"")</f>
        <v/>
      </c>
      <c r="V54" s="54" t="str">
        <f>IF(AND('Mapa final'!$Y$58="Muy Baja",'Mapa final'!$AA$58="Moderado"),CONCATENATE("R9C",'Mapa final'!$O$58),"")</f>
        <v/>
      </c>
      <c r="W54" s="55" t="str">
        <f>IF(AND('Mapa final'!$Y$59="Muy Baja",'Mapa final'!$AA$59="Moderado"),CONCATENATE("R9C",'Mapa final'!$O$59),"")</f>
        <v/>
      </c>
      <c r="X54" s="55" t="str">
        <f>IF(AND('Mapa final'!$Y$60="Muy Baja",'Mapa final'!$AA$60="Moderado"),CONCATENATE("R9C",'Mapa final'!$O$60),"")</f>
        <v/>
      </c>
      <c r="Y54" s="55" t="str">
        <f>IF(AND('Mapa final'!$Y$61="Muy Baja",'Mapa final'!$AA$61="Moderado"),CONCATENATE("R9C",'Mapa final'!$O$61),"")</f>
        <v/>
      </c>
      <c r="Z54" s="55" t="str">
        <f>IF(AND('Mapa final'!$Y$62="Muy Baja",'Mapa final'!$AA$62="Moderado"),CONCATENATE("R9C",'Mapa final'!$O$62),"")</f>
        <v/>
      </c>
      <c r="AA54" s="56" t="str">
        <f>IF(AND('Mapa final'!$Y$63="Muy Baja",'Mapa final'!$AA$63="Moderado"),CONCATENATE("R9C",'Mapa final'!$O$63),"")</f>
        <v/>
      </c>
      <c r="AB54" s="38" t="str">
        <f>IF(AND('Mapa final'!$Y$58="Muy Baja",'Mapa final'!$AA$58="Mayor"),CONCATENATE("R9C",'Mapa final'!$O$58),"")</f>
        <v/>
      </c>
      <c r="AC54" s="39" t="str">
        <f>IF(AND('Mapa final'!$Y$59="Muy Baja",'Mapa final'!$AA$59="Mayor"),CONCATENATE("R9C",'Mapa final'!$O$59),"")</f>
        <v/>
      </c>
      <c r="AD54" s="44" t="str">
        <f>IF(AND('Mapa final'!$Y$60="Muy Baja",'Mapa final'!$AA$60="Mayor"),CONCATENATE("R9C",'Mapa final'!$O$60),"")</f>
        <v/>
      </c>
      <c r="AE54" s="44" t="str">
        <f>IF(AND('Mapa final'!$Y$61="Muy Baja",'Mapa final'!$AA$61="Mayor"),CONCATENATE("R9C",'Mapa final'!$O$61),"")</f>
        <v/>
      </c>
      <c r="AF54" s="44" t="str">
        <f>IF(AND('Mapa final'!$Y$62="Muy Baja",'Mapa final'!$AA$62="Mayor"),CONCATENATE("R9C",'Mapa final'!$O$62),"")</f>
        <v/>
      </c>
      <c r="AG54" s="40" t="str">
        <f>IF(AND('Mapa final'!$Y$63="Muy Baja",'Mapa final'!$AA$63="Mayor"),CONCATENATE("R9C",'Mapa final'!$O$63),"")</f>
        <v/>
      </c>
      <c r="AH54" s="41" t="str">
        <f>IF(AND('Mapa final'!$Y$58="Muy Baja",'Mapa final'!$AA$58="Catastrófico"),CONCATENATE("R9C",'Mapa final'!$O$58),"")</f>
        <v/>
      </c>
      <c r="AI54" s="42" t="str">
        <f>IF(AND('Mapa final'!$Y$59="Muy Baja",'Mapa final'!$AA$59="Catastrófico"),CONCATENATE("R9C",'Mapa final'!$O$59),"")</f>
        <v/>
      </c>
      <c r="AJ54" s="42" t="str">
        <f>IF(AND('Mapa final'!$Y$60="Muy Baja",'Mapa final'!$AA$60="Catastrófico"),CONCATENATE("R9C",'Mapa final'!$O$60),"")</f>
        <v/>
      </c>
      <c r="AK54" s="42" t="str">
        <f>IF(AND('Mapa final'!$Y$61="Muy Baja",'Mapa final'!$AA$61="Catastrófico"),CONCATENATE("R9C",'Mapa final'!$O$61),"")</f>
        <v/>
      </c>
      <c r="AL54" s="42" t="str">
        <f>IF(AND('Mapa final'!$Y$62="Muy Baja",'Mapa final'!$AA$62="Catastrófico"),CONCATENATE("R9C",'Mapa final'!$O$62),"")</f>
        <v/>
      </c>
      <c r="AM54" s="43" t="str">
        <f>IF(AND('Mapa final'!$Y$63="Muy Baja",'Mapa final'!$AA$63="Catastrófico"),CONCATENATE("R9C",'Mapa final'!$O$63),"")</f>
        <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ht="15.75" customHeight="1" thickBot="1" x14ac:dyDescent="0.3">
      <c r="A55" s="70"/>
      <c r="B55" s="360"/>
      <c r="C55" s="360"/>
      <c r="D55" s="361"/>
      <c r="E55" s="404"/>
      <c r="F55" s="405"/>
      <c r="G55" s="405"/>
      <c r="H55" s="405"/>
      <c r="I55" s="406"/>
      <c r="J55" s="66" t="str">
        <f>IF(AND('Mapa final'!$Y$64="Muy Baja",'Mapa final'!$AA$64="Leve"),CONCATENATE("R10C",'Mapa final'!$O$64),"")</f>
        <v/>
      </c>
      <c r="K55" s="67" t="str">
        <f>IF(AND('Mapa final'!$Y$65="Muy Baja",'Mapa final'!$AA$65="Leve"),CONCATENATE("R10C",'Mapa final'!$O$65),"")</f>
        <v/>
      </c>
      <c r="L55" s="67" t="str">
        <f>IF(AND('Mapa final'!$Y$66="Muy Baja",'Mapa final'!$AA$66="Leve"),CONCATENATE("R10C",'Mapa final'!$O$66),"")</f>
        <v/>
      </c>
      <c r="M55" s="67" t="str">
        <f>IF(AND('Mapa final'!$Y$67="Muy Baja",'Mapa final'!$AA$67="Leve"),CONCATENATE("R10C",'Mapa final'!$O$67),"")</f>
        <v/>
      </c>
      <c r="N55" s="67" t="str">
        <f>IF(AND('Mapa final'!$Y$68="Muy Baja",'Mapa final'!$AA$68="Leve"),CONCATENATE("R10C",'Mapa final'!$O$68),"")</f>
        <v/>
      </c>
      <c r="O55" s="68" t="str">
        <f>IF(AND('Mapa final'!$Y$69="Muy Baja",'Mapa final'!$AA$69="Leve"),CONCATENATE("R10C",'Mapa final'!$O$69),"")</f>
        <v/>
      </c>
      <c r="P55" s="66" t="str">
        <f>IF(AND('Mapa final'!$Y$64="Muy Baja",'Mapa final'!$AA$64="Menor"),CONCATENATE("R10C",'Mapa final'!$O$64),"")</f>
        <v/>
      </c>
      <c r="Q55" s="67" t="str">
        <f>IF(AND('Mapa final'!$Y$65="Muy Baja",'Mapa final'!$AA$65="Menor"),CONCATENATE("R10C",'Mapa final'!$O$65),"")</f>
        <v/>
      </c>
      <c r="R55" s="67" t="str">
        <f>IF(AND('Mapa final'!$Y$66="Muy Baja",'Mapa final'!$AA$66="Menor"),CONCATENATE("R10C",'Mapa final'!$O$66),"")</f>
        <v/>
      </c>
      <c r="S55" s="67" t="str">
        <f>IF(AND('Mapa final'!$Y$67="Muy Baja",'Mapa final'!$AA$67="Menor"),CONCATENATE("R10C",'Mapa final'!$O$67),"")</f>
        <v/>
      </c>
      <c r="T55" s="67" t="str">
        <f>IF(AND('Mapa final'!$Y$68="Muy Baja",'Mapa final'!$AA$68="Menor"),CONCATENATE("R10C",'Mapa final'!$O$68),"")</f>
        <v/>
      </c>
      <c r="U55" s="68" t="str">
        <f>IF(AND('Mapa final'!$Y$69="Muy Baja",'Mapa final'!$AA$69="Menor"),CONCATENATE("R10C",'Mapa final'!$O$69),"")</f>
        <v/>
      </c>
      <c r="V55" s="57" t="str">
        <f>IF(AND('Mapa final'!$Y$64="Muy Baja",'Mapa final'!$AA$64="Moderado"),CONCATENATE("R10C",'Mapa final'!$O$64),"")</f>
        <v/>
      </c>
      <c r="W55" s="58" t="str">
        <f>IF(AND('Mapa final'!$Y$65="Muy Baja",'Mapa final'!$AA$65="Moderado"),CONCATENATE("R10C",'Mapa final'!$O$65),"")</f>
        <v/>
      </c>
      <c r="X55" s="58" t="str">
        <f>IF(AND('Mapa final'!$Y$66="Muy Baja",'Mapa final'!$AA$66="Moderado"),CONCATENATE("R10C",'Mapa final'!$O$66),"")</f>
        <v/>
      </c>
      <c r="Y55" s="58" t="str">
        <f>IF(AND('Mapa final'!$Y$67="Muy Baja",'Mapa final'!$AA$67="Moderado"),CONCATENATE("R10C",'Mapa final'!$O$67),"")</f>
        <v/>
      </c>
      <c r="Z55" s="58" t="str">
        <f>IF(AND('Mapa final'!$Y$68="Muy Baja",'Mapa final'!$AA$68="Moderado"),CONCATENATE("R10C",'Mapa final'!$O$68),"")</f>
        <v/>
      </c>
      <c r="AA55" s="59" t="str">
        <f>IF(AND('Mapa final'!$Y$69="Muy Baja",'Mapa final'!$AA$69="Moderado"),CONCATENATE("R10C",'Mapa final'!$O$69),"")</f>
        <v/>
      </c>
      <c r="AB55" s="45" t="str">
        <f>IF(AND('Mapa final'!$Y$64="Muy Baja",'Mapa final'!$AA$64="Mayor"),CONCATENATE("R10C",'Mapa final'!$O$64),"")</f>
        <v/>
      </c>
      <c r="AC55" s="46" t="str">
        <f>IF(AND('Mapa final'!$Y$65="Muy Baja",'Mapa final'!$AA$65="Mayor"),CONCATENATE("R10C",'Mapa final'!$O$65),"")</f>
        <v/>
      </c>
      <c r="AD55" s="46" t="str">
        <f>IF(AND('Mapa final'!$Y$66="Muy Baja",'Mapa final'!$AA$66="Mayor"),CONCATENATE("R10C",'Mapa final'!$O$66),"")</f>
        <v/>
      </c>
      <c r="AE55" s="46" t="str">
        <f>IF(AND('Mapa final'!$Y$67="Muy Baja",'Mapa final'!$AA$67="Mayor"),CONCATENATE("R10C",'Mapa final'!$O$67),"")</f>
        <v/>
      </c>
      <c r="AF55" s="46" t="str">
        <f>IF(AND('Mapa final'!$Y$68="Muy Baja",'Mapa final'!$AA$68="Mayor"),CONCATENATE("R10C",'Mapa final'!$O$68),"")</f>
        <v/>
      </c>
      <c r="AG55" s="47" t="str">
        <f>IF(AND('Mapa final'!$Y$69="Muy Baja",'Mapa final'!$AA$69="Mayor"),CONCATENATE("R10C",'Mapa final'!$O$69),"")</f>
        <v/>
      </c>
      <c r="AH55" s="48" t="str">
        <f>IF(AND('Mapa final'!$Y$64="Muy Baja",'Mapa final'!$AA$64="Catastrófico"),CONCATENATE("R10C",'Mapa final'!$O$64),"")</f>
        <v/>
      </c>
      <c r="AI55" s="49" t="str">
        <f>IF(AND('Mapa final'!$Y$65="Muy Baja",'Mapa final'!$AA$65="Catastrófico"),CONCATENATE("R10C",'Mapa final'!$O$65),"")</f>
        <v/>
      </c>
      <c r="AJ55" s="49" t="str">
        <f>IF(AND('Mapa final'!$Y$66="Muy Baja",'Mapa final'!$AA$66="Catastrófico"),CONCATENATE("R10C",'Mapa final'!$O$66),"")</f>
        <v/>
      </c>
      <c r="AK55" s="49" t="str">
        <f>IF(AND('Mapa final'!$Y$67="Muy Baja",'Mapa final'!$AA$67="Catastrófico"),CONCATENATE("R10C",'Mapa final'!$O$67),"")</f>
        <v/>
      </c>
      <c r="AL55" s="49" t="str">
        <f>IF(AND('Mapa final'!$Y$68="Muy Baja",'Mapa final'!$AA$68="Catastrófico"),CONCATENATE("R10C",'Mapa final'!$O$68),"")</f>
        <v/>
      </c>
      <c r="AM55" s="50" t="str">
        <f>IF(AND('Mapa final'!$Y$69="Muy Baja",'Mapa final'!$AA$69="Catastrófico"),CONCATENATE("R10C",'Mapa final'!$O$69),"")</f>
        <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398" t="s">
        <v>112</v>
      </c>
      <c r="K56" s="399"/>
      <c r="L56" s="399"/>
      <c r="M56" s="399"/>
      <c r="N56" s="399"/>
      <c r="O56" s="400"/>
      <c r="P56" s="398" t="s">
        <v>111</v>
      </c>
      <c r="Q56" s="399"/>
      <c r="R56" s="399"/>
      <c r="S56" s="399"/>
      <c r="T56" s="399"/>
      <c r="U56" s="400"/>
      <c r="V56" s="398" t="s">
        <v>110</v>
      </c>
      <c r="W56" s="399"/>
      <c r="X56" s="399"/>
      <c r="Y56" s="399"/>
      <c r="Z56" s="399"/>
      <c r="AA56" s="400"/>
      <c r="AB56" s="398" t="s">
        <v>109</v>
      </c>
      <c r="AC56" s="407"/>
      <c r="AD56" s="399"/>
      <c r="AE56" s="399"/>
      <c r="AF56" s="399"/>
      <c r="AG56" s="400"/>
      <c r="AH56" s="398" t="s">
        <v>108</v>
      </c>
      <c r="AI56" s="399"/>
      <c r="AJ56" s="399"/>
      <c r="AK56" s="399"/>
      <c r="AL56" s="399"/>
      <c r="AM56" s="40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401"/>
      <c r="K57" s="402"/>
      <c r="L57" s="402"/>
      <c r="M57" s="402"/>
      <c r="N57" s="402"/>
      <c r="O57" s="403"/>
      <c r="P57" s="401"/>
      <c r="Q57" s="402"/>
      <c r="R57" s="402"/>
      <c r="S57" s="402"/>
      <c r="T57" s="402"/>
      <c r="U57" s="403"/>
      <c r="V57" s="401"/>
      <c r="W57" s="402"/>
      <c r="X57" s="402"/>
      <c r="Y57" s="402"/>
      <c r="Z57" s="402"/>
      <c r="AA57" s="403"/>
      <c r="AB57" s="401"/>
      <c r="AC57" s="402"/>
      <c r="AD57" s="402"/>
      <c r="AE57" s="402"/>
      <c r="AF57" s="402"/>
      <c r="AG57" s="403"/>
      <c r="AH57" s="401"/>
      <c r="AI57" s="402"/>
      <c r="AJ57" s="402"/>
      <c r="AK57" s="402"/>
      <c r="AL57" s="402"/>
      <c r="AM57" s="403"/>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401"/>
      <c r="K58" s="402"/>
      <c r="L58" s="402"/>
      <c r="M58" s="402"/>
      <c r="N58" s="402"/>
      <c r="O58" s="403"/>
      <c r="P58" s="401"/>
      <c r="Q58" s="402"/>
      <c r="R58" s="402"/>
      <c r="S58" s="402"/>
      <c r="T58" s="402"/>
      <c r="U58" s="403"/>
      <c r="V58" s="401"/>
      <c r="W58" s="402"/>
      <c r="X58" s="402"/>
      <c r="Y58" s="402"/>
      <c r="Z58" s="402"/>
      <c r="AA58" s="403"/>
      <c r="AB58" s="401"/>
      <c r="AC58" s="402"/>
      <c r="AD58" s="402"/>
      <c r="AE58" s="402"/>
      <c r="AF58" s="402"/>
      <c r="AG58" s="403"/>
      <c r="AH58" s="401"/>
      <c r="AI58" s="402"/>
      <c r="AJ58" s="402"/>
      <c r="AK58" s="402"/>
      <c r="AL58" s="402"/>
      <c r="AM58" s="403"/>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401"/>
      <c r="K59" s="402"/>
      <c r="L59" s="402"/>
      <c r="M59" s="402"/>
      <c r="N59" s="402"/>
      <c r="O59" s="403"/>
      <c r="P59" s="401"/>
      <c r="Q59" s="402"/>
      <c r="R59" s="402"/>
      <c r="S59" s="402"/>
      <c r="T59" s="402"/>
      <c r="U59" s="403"/>
      <c r="V59" s="401"/>
      <c r="W59" s="402"/>
      <c r="X59" s="402"/>
      <c r="Y59" s="402"/>
      <c r="Z59" s="402"/>
      <c r="AA59" s="403"/>
      <c r="AB59" s="401"/>
      <c r="AC59" s="402"/>
      <c r="AD59" s="402"/>
      <c r="AE59" s="402"/>
      <c r="AF59" s="402"/>
      <c r="AG59" s="403"/>
      <c r="AH59" s="401"/>
      <c r="AI59" s="402"/>
      <c r="AJ59" s="402"/>
      <c r="AK59" s="402"/>
      <c r="AL59" s="402"/>
      <c r="AM59" s="403"/>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401"/>
      <c r="K60" s="402"/>
      <c r="L60" s="402"/>
      <c r="M60" s="402"/>
      <c r="N60" s="402"/>
      <c r="O60" s="403"/>
      <c r="P60" s="401"/>
      <c r="Q60" s="402"/>
      <c r="R60" s="402"/>
      <c r="S60" s="402"/>
      <c r="T60" s="402"/>
      <c r="U60" s="403"/>
      <c r="V60" s="401"/>
      <c r="W60" s="402"/>
      <c r="X60" s="402"/>
      <c r="Y60" s="402"/>
      <c r="Z60" s="402"/>
      <c r="AA60" s="403"/>
      <c r="AB60" s="401"/>
      <c r="AC60" s="402"/>
      <c r="AD60" s="402"/>
      <c r="AE60" s="402"/>
      <c r="AF60" s="402"/>
      <c r="AG60" s="403"/>
      <c r="AH60" s="401"/>
      <c r="AI60" s="402"/>
      <c r="AJ60" s="402"/>
      <c r="AK60" s="402"/>
      <c r="AL60" s="402"/>
      <c r="AM60" s="403"/>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ht="15.75" thickBot="1" x14ac:dyDescent="0.3">
      <c r="A61" s="70"/>
      <c r="B61" s="70"/>
      <c r="C61" s="70"/>
      <c r="D61" s="70"/>
      <c r="E61" s="70"/>
      <c r="F61" s="70"/>
      <c r="G61" s="70"/>
      <c r="H61" s="70"/>
      <c r="I61" s="70"/>
      <c r="J61" s="404"/>
      <c r="K61" s="405"/>
      <c r="L61" s="405"/>
      <c r="M61" s="405"/>
      <c r="N61" s="405"/>
      <c r="O61" s="406"/>
      <c r="P61" s="404"/>
      <c r="Q61" s="405"/>
      <c r="R61" s="405"/>
      <c r="S61" s="405"/>
      <c r="T61" s="405"/>
      <c r="U61" s="406"/>
      <c r="V61" s="404"/>
      <c r="W61" s="405"/>
      <c r="X61" s="405"/>
      <c r="Y61" s="405"/>
      <c r="Z61" s="405"/>
      <c r="AA61" s="406"/>
      <c r="AB61" s="404"/>
      <c r="AC61" s="405"/>
      <c r="AD61" s="405"/>
      <c r="AE61" s="405"/>
      <c r="AF61" s="405"/>
      <c r="AG61" s="406"/>
      <c r="AH61" s="404"/>
      <c r="AI61" s="405"/>
      <c r="AJ61" s="405"/>
      <c r="AK61" s="405"/>
      <c r="AL61" s="405"/>
      <c r="AM61" s="406"/>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row>
    <row r="63" spans="1:80" ht="15" customHeight="1" x14ac:dyDescent="0.25">
      <c r="A63" s="70"/>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0"/>
      <c r="AV63" s="70"/>
      <c r="AW63" s="70"/>
      <c r="AX63" s="70"/>
      <c r="AY63" s="70"/>
      <c r="AZ63" s="70"/>
      <c r="BA63" s="70"/>
      <c r="BB63" s="70"/>
      <c r="BC63" s="70"/>
      <c r="BD63" s="70"/>
      <c r="BE63" s="70"/>
      <c r="BF63" s="70"/>
      <c r="BG63" s="70"/>
      <c r="BH63" s="70"/>
    </row>
    <row r="64" spans="1:80" ht="15" customHeight="1" x14ac:dyDescent="0.25">
      <c r="A64" s="70"/>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0"/>
      <c r="AV64" s="70"/>
      <c r="AW64" s="70"/>
      <c r="AX64" s="70"/>
      <c r="AY64" s="70"/>
      <c r="AZ64" s="70"/>
      <c r="BA64" s="70"/>
      <c r="BB64" s="70"/>
      <c r="BC64" s="70"/>
      <c r="BD64" s="70"/>
      <c r="BE64" s="70"/>
      <c r="BF64" s="70"/>
      <c r="BG64" s="70"/>
      <c r="BH64" s="70"/>
    </row>
    <row r="65" spans="1:6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row>
    <row r="66" spans="1:6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row>
    <row r="67" spans="1:6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row>
    <row r="68" spans="1:6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row>
    <row r="69" spans="1:6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row>
    <row r="70" spans="1:6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row>
    <row r="71" spans="1:6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6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6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row>
    <row r="74" spans="1:6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row>
    <row r="75" spans="1:6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row>
    <row r="76" spans="1:6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row>
    <row r="77" spans="1:6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row>
    <row r="78" spans="1:6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row>
    <row r="79" spans="1:6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row>
    <row r="80" spans="1:6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row>
    <row r="81" spans="1:60"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row>
    <row r="82" spans="1:60"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row>
    <row r="83" spans="1:60"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row>
    <row r="84" spans="1:60"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row>
    <row r="85" spans="1:60"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row>
    <row r="86" spans="1:60"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row>
    <row r="87" spans="1:60"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row>
    <row r="88" spans="1:60"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row>
    <row r="89" spans="1:60"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row>
    <row r="90" spans="1:60"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row>
    <row r="91" spans="1:60"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row>
    <row r="92" spans="1:60"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row>
    <row r="93" spans="1:60"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row>
    <row r="94" spans="1:60"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row>
    <row r="95" spans="1:60"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row>
    <row r="96" spans="1:60"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row>
    <row r="97" spans="1:60"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row>
    <row r="98" spans="1:60"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row>
    <row r="99" spans="1:60"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row>
    <row r="100" spans="1:60"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row>
    <row r="101" spans="1:60"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row>
    <row r="102" spans="1:60"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row>
    <row r="103" spans="1:60"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row>
    <row r="104" spans="1:60"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row>
    <row r="105" spans="1:60"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row>
    <row r="106" spans="1:60"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row>
    <row r="107" spans="1:60"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row>
    <row r="108" spans="1:60"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row>
    <row r="109" spans="1:60"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row>
    <row r="110" spans="1:60"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row>
    <row r="111" spans="1:60"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row>
    <row r="112" spans="1:60"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row>
    <row r="113" spans="1:60"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row>
    <row r="114" spans="1:60"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row>
    <row r="115" spans="1:60"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row>
    <row r="116" spans="1:60"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row>
    <row r="117" spans="1:60"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row>
    <row r="118" spans="1:60"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row>
    <row r="119" spans="1:60"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row>
    <row r="120" spans="1:60"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60"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row>
    <row r="122" spans="1:60"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row>
    <row r="123" spans="1:60"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row>
    <row r="124" spans="1:60"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row>
    <row r="125" spans="1:60"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row>
    <row r="126" spans="1:60"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row>
    <row r="127" spans="1:60"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60"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row>
    <row r="129" spans="1:60"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row>
    <row r="130" spans="1:60"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row>
    <row r="131" spans="1:60"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row>
    <row r="132" spans="1:60"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row>
    <row r="133" spans="1:60"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row>
    <row r="134" spans="1:60"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row>
    <row r="135" spans="1:60"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row>
    <row r="136" spans="1:60"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row>
    <row r="137" spans="1:60"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row>
    <row r="138" spans="1:60"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row>
    <row r="139" spans="1:60"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row>
    <row r="140" spans="1:60"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row>
    <row r="141" spans="1:60"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row>
    <row r="142" spans="1:60"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row>
    <row r="143" spans="1:60"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row>
    <row r="144" spans="1:60"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row>
    <row r="145" spans="1:60"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row>
    <row r="146" spans="1:60"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row>
    <row r="147" spans="1:60"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row>
    <row r="148" spans="1:60"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row>
    <row r="149" spans="1:60"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row>
    <row r="150" spans="1:60"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row>
    <row r="151" spans="1:60"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row>
    <row r="152" spans="1:60"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row>
    <row r="153" spans="1:60"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row>
    <row r="154" spans="1:60"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row>
    <row r="155" spans="1:60"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row>
    <row r="156" spans="1:60"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row>
    <row r="157" spans="1:60"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row>
    <row r="158" spans="1:60"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row>
    <row r="159" spans="1:60"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row>
    <row r="160" spans="1:60"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row>
    <row r="161" spans="1:60"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row>
    <row r="162" spans="1:60"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row>
    <row r="163" spans="1:60"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row>
    <row r="164" spans="1:60"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row>
    <row r="165" spans="1:60"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row>
    <row r="166" spans="1:60"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row>
    <row r="167" spans="1:60"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row>
    <row r="168" spans="1:60"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row>
    <row r="169" spans="1:60"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row>
    <row r="170" spans="1:60"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row>
    <row r="171" spans="1:60"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row>
    <row r="172" spans="1:60"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row>
    <row r="173" spans="1:60"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row>
    <row r="174" spans="1:60"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row>
    <row r="175" spans="1:60"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row>
    <row r="176" spans="1:60"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row>
    <row r="177" spans="1:60"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row>
    <row r="178" spans="1:60"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row>
    <row r="179" spans="1:60"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row>
    <row r="180" spans="1:60"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row>
    <row r="181" spans="1:60"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row>
    <row r="182" spans="1:60"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row>
    <row r="183" spans="1:60"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row>
    <row r="184" spans="1:60"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row>
    <row r="185" spans="1:60"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row>
    <row r="186" spans="1:60"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row>
    <row r="187" spans="1:60"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row>
    <row r="188" spans="1:60"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row>
    <row r="189" spans="1:60"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row>
    <row r="190" spans="1:60"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row>
    <row r="191" spans="1:60" x14ac:dyDescent="0.25">
      <c r="A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row>
    <row r="192" spans="1:60" x14ac:dyDescent="0.25">
      <c r="A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row>
    <row r="193" spans="1:60" x14ac:dyDescent="0.25">
      <c r="A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row>
    <row r="194" spans="1:60" x14ac:dyDescent="0.25">
      <c r="A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row>
    <row r="195" spans="1:60" x14ac:dyDescent="0.25">
      <c r="A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row>
    <row r="196" spans="1:60" x14ac:dyDescent="0.25">
      <c r="A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row>
    <row r="197" spans="1:60" x14ac:dyDescent="0.25">
      <c r="A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row>
    <row r="198" spans="1:60" x14ac:dyDescent="0.25">
      <c r="A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row>
    <row r="199" spans="1:60" x14ac:dyDescent="0.25">
      <c r="A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row>
    <row r="200" spans="1:60" x14ac:dyDescent="0.25">
      <c r="A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row>
    <row r="201" spans="1:60" x14ac:dyDescent="0.25">
      <c r="A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row>
    <row r="202" spans="1:60" x14ac:dyDescent="0.25">
      <c r="A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row>
    <row r="203" spans="1:60" x14ac:dyDescent="0.25">
      <c r="A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row>
    <row r="204" spans="1:60" x14ac:dyDescent="0.25">
      <c r="A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row>
    <row r="205" spans="1:60" x14ac:dyDescent="0.25">
      <c r="A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row>
    <row r="206" spans="1:60" x14ac:dyDescent="0.25">
      <c r="A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row>
    <row r="207" spans="1:60" x14ac:dyDescent="0.25">
      <c r="A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row>
    <row r="208" spans="1:60" x14ac:dyDescent="0.25">
      <c r="A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row>
    <row r="209" spans="1:60" x14ac:dyDescent="0.25">
      <c r="A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row>
    <row r="210" spans="1:60" x14ac:dyDescent="0.25">
      <c r="A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row>
    <row r="211" spans="1:60" x14ac:dyDescent="0.25">
      <c r="A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row>
    <row r="212" spans="1:60" x14ac:dyDescent="0.25">
      <c r="A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row>
    <row r="213" spans="1:60" x14ac:dyDescent="0.25">
      <c r="A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row>
    <row r="214" spans="1:60" x14ac:dyDescent="0.25">
      <c r="A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row>
    <row r="215" spans="1:60" x14ac:dyDescent="0.25">
      <c r="A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row>
    <row r="216" spans="1:60" x14ac:dyDescent="0.25">
      <c r="A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row>
    <row r="217" spans="1:60" x14ac:dyDescent="0.25">
      <c r="A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row>
    <row r="218" spans="1:60" x14ac:dyDescent="0.25">
      <c r="A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row>
    <row r="219" spans="1:60" x14ac:dyDescent="0.25">
      <c r="A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row>
    <row r="220" spans="1:60" x14ac:dyDescent="0.25">
      <c r="A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row>
    <row r="221" spans="1:60" x14ac:dyDescent="0.25">
      <c r="A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spans="1:60" x14ac:dyDescent="0.25">
      <c r="A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spans="1:60" x14ac:dyDescent="0.25">
      <c r="A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spans="1:60" x14ac:dyDescent="0.25">
      <c r="A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spans="1:60" x14ac:dyDescent="0.25">
      <c r="A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spans="1:60" x14ac:dyDescent="0.25">
      <c r="A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spans="1:60" x14ac:dyDescent="0.25">
      <c r="A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spans="1:60" x14ac:dyDescent="0.25">
      <c r="A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spans="1:60" x14ac:dyDescent="0.25">
      <c r="A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spans="1:60" x14ac:dyDescent="0.25">
      <c r="A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spans="1:60" x14ac:dyDescent="0.25">
      <c r="A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spans="1:60" x14ac:dyDescent="0.25">
      <c r="A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spans="1:60" x14ac:dyDescent="0.25">
      <c r="A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spans="1:60" x14ac:dyDescent="0.25">
      <c r="A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spans="1:60" x14ac:dyDescent="0.25">
      <c r="A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spans="1:60" x14ac:dyDescent="0.25">
      <c r="A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spans="1:60" x14ac:dyDescent="0.25">
      <c r="A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spans="1:60" x14ac:dyDescent="0.25">
      <c r="A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spans="1:60" x14ac:dyDescent="0.25">
      <c r="A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spans="1:60" x14ac:dyDescent="0.25">
      <c r="A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spans="1:60" x14ac:dyDescent="0.25">
      <c r="A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spans="1:60" x14ac:dyDescent="0.25">
      <c r="A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spans="1:60" x14ac:dyDescent="0.25">
      <c r="A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spans="1:60" x14ac:dyDescent="0.25">
      <c r="A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spans="1:60" x14ac:dyDescent="0.25">
      <c r="A245" s="70"/>
    </row>
    <row r="246" spans="1:60" x14ac:dyDescent="0.25">
      <c r="A246" s="70"/>
    </row>
    <row r="247" spans="1:60" x14ac:dyDescent="0.25">
      <c r="A247" s="70"/>
    </row>
    <row r="248" spans="1:60" x14ac:dyDescent="0.25">
      <c r="A248" s="7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0"/>
      <c r="B1" s="448" t="s">
        <v>55</v>
      </c>
      <c r="C1" s="448"/>
      <c r="D1" s="448"/>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7"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row>
    <row r="3" spans="1:37" ht="25.5" x14ac:dyDescent="0.25">
      <c r="A3" s="70"/>
      <c r="B3" s="3"/>
      <c r="C3" s="4" t="s">
        <v>52</v>
      </c>
      <c r="D3" s="4" t="s">
        <v>4</v>
      </c>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1:37" ht="51" x14ac:dyDescent="0.25">
      <c r="A4" s="70"/>
      <c r="B4" s="5" t="s">
        <v>51</v>
      </c>
      <c r="C4" s="6" t="s">
        <v>102</v>
      </c>
      <c r="D4" s="7">
        <v>0.2</v>
      </c>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7" ht="51" x14ac:dyDescent="0.25">
      <c r="A5" s="70"/>
      <c r="B5" s="8" t="s">
        <v>53</v>
      </c>
      <c r="C5" s="9" t="s">
        <v>103</v>
      </c>
      <c r="D5" s="10">
        <v>0.4</v>
      </c>
      <c r="E5" s="70"/>
      <c r="F5" s="70"/>
      <c r="G5" s="70"/>
      <c r="H5" s="70"/>
      <c r="I5" s="70"/>
      <c r="J5" s="70"/>
      <c r="K5" s="70"/>
      <c r="L5" s="70"/>
      <c r="M5" s="70"/>
      <c r="N5" s="70"/>
      <c r="O5" s="70"/>
      <c r="P5" s="70"/>
      <c r="Q5" s="70"/>
      <c r="R5" s="70"/>
      <c r="S5" s="70"/>
      <c r="T5" s="70"/>
      <c r="U5" s="70"/>
      <c r="V5" s="70"/>
      <c r="W5" s="70"/>
      <c r="X5" s="70"/>
      <c r="Y5" s="70"/>
      <c r="Z5" s="70"/>
      <c r="AA5" s="70"/>
      <c r="AB5" s="70"/>
      <c r="AC5" s="70"/>
      <c r="AD5" s="70"/>
      <c r="AE5" s="70"/>
    </row>
    <row r="6" spans="1:37" ht="51" x14ac:dyDescent="0.25">
      <c r="A6" s="70"/>
      <c r="B6" s="11" t="s">
        <v>107</v>
      </c>
      <c r="C6" s="9" t="s">
        <v>104</v>
      </c>
      <c r="D6" s="10">
        <v>0.6</v>
      </c>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7" ht="76.5" x14ac:dyDescent="0.25">
      <c r="A7" s="70"/>
      <c r="B7" s="12" t="s">
        <v>6</v>
      </c>
      <c r="C7" s="9" t="s">
        <v>105</v>
      </c>
      <c r="D7" s="10">
        <v>0.8</v>
      </c>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7" ht="51" x14ac:dyDescent="0.25">
      <c r="A8" s="70"/>
      <c r="B8" s="13" t="s">
        <v>54</v>
      </c>
      <c r="C8" s="9" t="s">
        <v>106</v>
      </c>
      <c r="D8" s="10">
        <v>1</v>
      </c>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7" x14ac:dyDescent="0.25">
      <c r="A9" s="70"/>
      <c r="B9" s="94"/>
      <c r="C9" s="94"/>
      <c r="D9" s="9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ht="16.5" x14ac:dyDescent="0.25">
      <c r="A10" s="70"/>
      <c r="B10" s="95"/>
      <c r="C10" s="94"/>
      <c r="D10" s="94"/>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25">
      <c r="A11" s="70"/>
      <c r="B11" s="94"/>
      <c r="C11" s="94"/>
      <c r="D11" s="94"/>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25">
      <c r="A12" s="70"/>
      <c r="B12" s="94"/>
      <c r="C12" s="94"/>
      <c r="D12" s="94"/>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25">
      <c r="A13" s="70"/>
      <c r="B13" s="94"/>
      <c r="C13" s="94"/>
      <c r="D13" s="94"/>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25">
      <c r="A14" s="70"/>
      <c r="B14" s="94"/>
      <c r="C14" s="94"/>
      <c r="D14" s="94"/>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25">
      <c r="A15" s="70"/>
      <c r="B15" s="94"/>
      <c r="C15" s="94"/>
      <c r="D15" s="94"/>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25">
      <c r="A16" s="70"/>
      <c r="B16" s="94"/>
      <c r="C16" s="94"/>
      <c r="D16" s="94"/>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25">
      <c r="A17" s="70"/>
      <c r="B17" s="94"/>
      <c r="C17" s="94"/>
      <c r="D17" s="94"/>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25">
      <c r="A18" s="70"/>
      <c r="B18" s="94"/>
      <c r="C18" s="94"/>
      <c r="D18" s="94"/>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2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2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2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2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2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2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2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1" x14ac:dyDescent="0.25">
      <c r="A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1:31" x14ac:dyDescent="0.25">
      <c r="A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1" x14ac:dyDescent="0.25">
      <c r="A35" s="70"/>
    </row>
    <row r="36" spans="1:31" x14ac:dyDescent="0.25">
      <c r="A36" s="70"/>
    </row>
    <row r="37" spans="1:31" x14ac:dyDescent="0.25">
      <c r="A37" s="70"/>
    </row>
    <row r="38" spans="1:31" x14ac:dyDescent="0.25">
      <c r="A38" s="70"/>
    </row>
    <row r="39" spans="1:31" x14ac:dyDescent="0.25">
      <c r="A39" s="70"/>
    </row>
    <row r="40" spans="1:31" x14ac:dyDescent="0.25">
      <c r="A40" s="70"/>
    </row>
    <row r="41" spans="1:31" x14ac:dyDescent="0.25">
      <c r="A41" s="70"/>
    </row>
    <row r="42" spans="1:31" x14ac:dyDescent="0.25">
      <c r="A42" s="70"/>
    </row>
    <row r="43" spans="1:31" x14ac:dyDescent="0.25">
      <c r="A43" s="70"/>
    </row>
    <row r="44" spans="1:31" x14ac:dyDescent="0.25">
      <c r="A44" s="70"/>
    </row>
    <row r="45" spans="1:31" x14ac:dyDescent="0.25">
      <c r="A45" s="70"/>
    </row>
    <row r="46" spans="1:31" x14ac:dyDescent="0.25">
      <c r="A46" s="70"/>
    </row>
    <row r="47" spans="1:31" x14ac:dyDescent="0.25">
      <c r="A47" s="70"/>
    </row>
    <row r="48" spans="1:3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0"/>
      <c r="B1" s="449" t="s">
        <v>63</v>
      </c>
      <c r="C1" s="449"/>
      <c r="D1" s="449"/>
      <c r="E1" s="70"/>
      <c r="F1" s="70"/>
      <c r="G1" s="70"/>
      <c r="H1" s="70"/>
      <c r="I1" s="70"/>
      <c r="J1" s="70"/>
      <c r="K1" s="70"/>
      <c r="L1" s="70"/>
      <c r="M1" s="70"/>
      <c r="N1" s="70"/>
      <c r="O1" s="70"/>
      <c r="P1" s="70"/>
      <c r="Q1" s="70"/>
      <c r="R1" s="70"/>
      <c r="S1" s="70"/>
      <c r="T1" s="70"/>
      <c r="U1" s="70"/>
    </row>
    <row r="2" spans="1:21" x14ac:dyDescent="0.25">
      <c r="A2" s="70"/>
      <c r="B2" s="70"/>
      <c r="C2" s="70"/>
      <c r="D2" s="70"/>
      <c r="E2" s="70"/>
      <c r="F2" s="70"/>
      <c r="G2" s="70"/>
      <c r="H2" s="70"/>
      <c r="I2" s="70"/>
      <c r="J2" s="70"/>
      <c r="K2" s="70"/>
      <c r="L2" s="70"/>
      <c r="M2" s="70"/>
      <c r="N2" s="70"/>
      <c r="O2" s="70"/>
      <c r="P2" s="70"/>
      <c r="Q2" s="70"/>
      <c r="R2" s="70"/>
      <c r="S2" s="70"/>
      <c r="T2" s="70"/>
      <c r="U2" s="70"/>
    </row>
    <row r="3" spans="1:21" ht="30" x14ac:dyDescent="0.25">
      <c r="A3" s="70"/>
      <c r="B3" s="91"/>
      <c r="C3" s="22" t="s">
        <v>56</v>
      </c>
      <c r="D3" s="22" t="s">
        <v>57</v>
      </c>
      <c r="E3" s="70"/>
      <c r="F3" s="70"/>
      <c r="G3" s="70"/>
      <c r="H3" s="70"/>
      <c r="I3" s="70"/>
      <c r="J3" s="70"/>
      <c r="K3" s="70"/>
      <c r="L3" s="70"/>
      <c r="M3" s="70"/>
      <c r="N3" s="70"/>
      <c r="O3" s="70"/>
      <c r="P3" s="70"/>
      <c r="Q3" s="70"/>
      <c r="R3" s="70"/>
      <c r="S3" s="70"/>
      <c r="T3" s="70"/>
      <c r="U3" s="70"/>
    </row>
    <row r="4" spans="1:21" ht="33.75" x14ac:dyDescent="0.25">
      <c r="A4" s="90" t="s">
        <v>83</v>
      </c>
      <c r="B4" s="25" t="s">
        <v>101</v>
      </c>
      <c r="C4" s="30" t="s">
        <v>157</v>
      </c>
      <c r="D4" s="23" t="s">
        <v>97</v>
      </c>
      <c r="E4" s="70"/>
      <c r="F4" s="70"/>
      <c r="G4" s="70"/>
      <c r="H4" s="70"/>
      <c r="I4" s="70"/>
      <c r="J4" s="70"/>
      <c r="K4" s="70"/>
      <c r="L4" s="70"/>
      <c r="M4" s="70"/>
      <c r="N4" s="70"/>
      <c r="O4" s="70"/>
      <c r="P4" s="70"/>
      <c r="Q4" s="70"/>
      <c r="R4" s="70"/>
      <c r="S4" s="70"/>
      <c r="T4" s="70"/>
      <c r="U4" s="70"/>
    </row>
    <row r="5" spans="1:21" ht="67.5" x14ac:dyDescent="0.25">
      <c r="A5" s="90" t="s">
        <v>84</v>
      </c>
      <c r="B5" s="26" t="s">
        <v>59</v>
      </c>
      <c r="C5" s="31" t="s">
        <v>93</v>
      </c>
      <c r="D5" s="24" t="s">
        <v>98</v>
      </c>
      <c r="E5" s="70"/>
      <c r="F5" s="70"/>
      <c r="G5" s="70"/>
      <c r="H5" s="70"/>
      <c r="I5" s="70"/>
      <c r="J5" s="70"/>
      <c r="K5" s="70"/>
      <c r="L5" s="70"/>
      <c r="M5" s="70"/>
      <c r="N5" s="70"/>
      <c r="O5" s="70"/>
      <c r="P5" s="70"/>
      <c r="Q5" s="70"/>
      <c r="R5" s="70"/>
      <c r="S5" s="70"/>
      <c r="T5" s="70"/>
      <c r="U5" s="70"/>
    </row>
    <row r="6" spans="1:21" ht="67.5" x14ac:dyDescent="0.25">
      <c r="A6" s="90" t="s">
        <v>81</v>
      </c>
      <c r="B6" s="27" t="s">
        <v>60</v>
      </c>
      <c r="C6" s="31" t="s">
        <v>94</v>
      </c>
      <c r="D6" s="24" t="s">
        <v>100</v>
      </c>
      <c r="E6" s="70"/>
      <c r="F6" s="70"/>
      <c r="G6" s="70"/>
      <c r="H6" s="70"/>
      <c r="I6" s="70"/>
      <c r="J6" s="70"/>
      <c r="K6" s="70"/>
      <c r="L6" s="70"/>
      <c r="M6" s="70"/>
      <c r="N6" s="70"/>
      <c r="O6" s="70"/>
      <c r="P6" s="70"/>
      <c r="Q6" s="70"/>
      <c r="R6" s="70"/>
      <c r="S6" s="70"/>
      <c r="T6" s="70"/>
      <c r="U6" s="70"/>
    </row>
    <row r="7" spans="1:21" ht="101.25" x14ac:dyDescent="0.25">
      <c r="A7" s="90" t="s">
        <v>7</v>
      </c>
      <c r="B7" s="28" t="s">
        <v>61</v>
      </c>
      <c r="C7" s="31" t="s">
        <v>95</v>
      </c>
      <c r="D7" s="24" t="s">
        <v>99</v>
      </c>
      <c r="E7" s="70"/>
      <c r="F7" s="70"/>
      <c r="G7" s="70"/>
      <c r="H7" s="70"/>
      <c r="I7" s="70"/>
      <c r="J7" s="70"/>
      <c r="K7" s="70"/>
      <c r="L7" s="70"/>
      <c r="M7" s="70"/>
      <c r="N7" s="70"/>
      <c r="O7" s="70"/>
      <c r="P7" s="70"/>
      <c r="Q7" s="70"/>
      <c r="R7" s="70"/>
      <c r="S7" s="70"/>
      <c r="T7" s="70"/>
      <c r="U7" s="70"/>
    </row>
    <row r="8" spans="1:21" ht="67.5" x14ac:dyDescent="0.25">
      <c r="A8" s="90" t="s">
        <v>85</v>
      </c>
      <c r="B8" s="29" t="s">
        <v>62</v>
      </c>
      <c r="C8" s="31" t="s">
        <v>96</v>
      </c>
      <c r="D8" s="24" t="s">
        <v>118</v>
      </c>
      <c r="E8" s="70"/>
      <c r="F8" s="70"/>
      <c r="G8" s="70"/>
      <c r="H8" s="70"/>
      <c r="I8" s="70"/>
      <c r="J8" s="70"/>
      <c r="K8" s="70"/>
      <c r="L8" s="70"/>
      <c r="M8" s="70"/>
      <c r="N8" s="70"/>
      <c r="O8" s="70"/>
      <c r="P8" s="70"/>
      <c r="Q8" s="70"/>
      <c r="R8" s="70"/>
      <c r="S8" s="70"/>
      <c r="T8" s="70"/>
      <c r="U8" s="70"/>
    </row>
    <row r="9" spans="1:21" ht="20.25" x14ac:dyDescent="0.25">
      <c r="A9" s="90"/>
      <c r="B9" s="90"/>
      <c r="C9" s="92"/>
      <c r="D9" s="92"/>
      <c r="E9" s="70"/>
      <c r="F9" s="70"/>
      <c r="G9" s="70"/>
      <c r="H9" s="70"/>
      <c r="I9" s="70"/>
      <c r="J9" s="70"/>
      <c r="K9" s="70"/>
      <c r="L9" s="70"/>
      <c r="M9" s="70"/>
      <c r="N9" s="70"/>
      <c r="O9" s="70"/>
      <c r="P9" s="70"/>
      <c r="Q9" s="70"/>
      <c r="R9" s="70"/>
      <c r="S9" s="70"/>
      <c r="T9" s="70"/>
      <c r="U9" s="70"/>
    </row>
    <row r="10" spans="1:21" ht="16.5" x14ac:dyDescent="0.25">
      <c r="A10" s="90"/>
      <c r="B10" s="93"/>
      <c r="C10" s="93"/>
      <c r="D10" s="93"/>
      <c r="E10" s="70"/>
      <c r="F10" s="70"/>
      <c r="G10" s="70"/>
      <c r="H10" s="70"/>
      <c r="I10" s="70"/>
      <c r="J10" s="70"/>
      <c r="K10" s="70"/>
      <c r="L10" s="70"/>
      <c r="M10" s="70"/>
      <c r="N10" s="70"/>
      <c r="O10" s="70"/>
      <c r="P10" s="70"/>
      <c r="Q10" s="70"/>
      <c r="R10" s="70"/>
      <c r="S10" s="70"/>
      <c r="T10" s="70"/>
      <c r="U10" s="70"/>
    </row>
    <row r="11" spans="1:21" x14ac:dyDescent="0.25">
      <c r="A11" s="90"/>
      <c r="B11" s="90" t="s">
        <v>91</v>
      </c>
      <c r="C11" s="90" t="s">
        <v>145</v>
      </c>
      <c r="D11" s="90" t="s">
        <v>152</v>
      </c>
      <c r="E11" s="70"/>
      <c r="F11" s="70"/>
      <c r="G11" s="70"/>
      <c r="H11" s="70"/>
      <c r="I11" s="70"/>
      <c r="J11" s="70"/>
      <c r="K11" s="70"/>
      <c r="L11" s="70"/>
      <c r="M11" s="70"/>
      <c r="N11" s="70"/>
      <c r="O11" s="70"/>
      <c r="P11" s="70"/>
      <c r="Q11" s="70"/>
      <c r="R11" s="70"/>
      <c r="S11" s="70"/>
      <c r="T11" s="70"/>
      <c r="U11" s="70"/>
    </row>
    <row r="12" spans="1:21" x14ac:dyDescent="0.25">
      <c r="A12" s="90"/>
      <c r="B12" s="90" t="s">
        <v>89</v>
      </c>
      <c r="C12" s="90" t="s">
        <v>149</v>
      </c>
      <c r="D12" s="90" t="s">
        <v>153</v>
      </c>
      <c r="E12" s="70"/>
      <c r="F12" s="70"/>
      <c r="G12" s="70"/>
      <c r="H12" s="70"/>
      <c r="I12" s="70"/>
      <c r="J12" s="70"/>
      <c r="K12" s="70"/>
      <c r="L12" s="70"/>
      <c r="M12" s="70"/>
      <c r="N12" s="70"/>
      <c r="O12" s="70"/>
      <c r="P12" s="70"/>
      <c r="Q12" s="70"/>
      <c r="R12" s="70"/>
      <c r="S12" s="70"/>
      <c r="T12" s="70"/>
      <c r="U12" s="70"/>
    </row>
    <row r="13" spans="1:21" x14ac:dyDescent="0.25">
      <c r="A13" s="90"/>
      <c r="B13" s="90"/>
      <c r="C13" s="90" t="s">
        <v>148</v>
      </c>
      <c r="D13" s="90" t="s">
        <v>154</v>
      </c>
      <c r="E13" s="70"/>
      <c r="F13" s="70"/>
      <c r="G13" s="70"/>
      <c r="H13" s="70"/>
      <c r="I13" s="70"/>
      <c r="J13" s="70"/>
      <c r="K13" s="70"/>
      <c r="L13" s="70"/>
      <c r="M13" s="70"/>
      <c r="N13" s="70"/>
      <c r="O13" s="70"/>
      <c r="P13" s="70"/>
      <c r="Q13" s="70"/>
      <c r="R13" s="70"/>
      <c r="S13" s="70"/>
      <c r="T13" s="70"/>
      <c r="U13" s="70"/>
    </row>
    <row r="14" spans="1:21" x14ac:dyDescent="0.25">
      <c r="A14" s="90"/>
      <c r="B14" s="90"/>
      <c r="C14" s="90" t="s">
        <v>150</v>
      </c>
      <c r="D14" s="90" t="s">
        <v>155</v>
      </c>
      <c r="E14" s="70"/>
      <c r="F14" s="70"/>
      <c r="G14" s="70"/>
      <c r="H14" s="70"/>
      <c r="I14" s="70"/>
      <c r="J14" s="70"/>
      <c r="K14" s="70"/>
      <c r="L14" s="70"/>
      <c r="M14" s="70"/>
      <c r="N14" s="70"/>
      <c r="O14" s="70"/>
      <c r="P14" s="70"/>
      <c r="Q14" s="70"/>
      <c r="R14" s="70"/>
      <c r="S14" s="70"/>
      <c r="T14" s="70"/>
      <c r="U14" s="70"/>
    </row>
    <row r="15" spans="1:21" x14ac:dyDescent="0.25">
      <c r="A15" s="90"/>
      <c r="B15" s="90"/>
      <c r="C15" s="90" t="s">
        <v>151</v>
      </c>
      <c r="D15" s="90" t="s">
        <v>156</v>
      </c>
      <c r="E15" s="70"/>
      <c r="F15" s="70"/>
      <c r="G15" s="70"/>
      <c r="H15" s="70"/>
      <c r="I15" s="70"/>
      <c r="J15" s="70"/>
      <c r="K15" s="70"/>
      <c r="L15" s="70"/>
      <c r="M15" s="70"/>
      <c r="N15" s="70"/>
      <c r="O15" s="70"/>
      <c r="P15" s="70"/>
      <c r="Q15" s="70"/>
      <c r="R15" s="70"/>
      <c r="S15" s="70"/>
      <c r="T15" s="70"/>
      <c r="U15" s="70"/>
    </row>
    <row r="16" spans="1:21" x14ac:dyDescent="0.25">
      <c r="A16" s="90"/>
      <c r="B16" s="90"/>
      <c r="C16" s="90"/>
      <c r="D16" s="90"/>
      <c r="E16" s="70"/>
      <c r="F16" s="70"/>
      <c r="G16" s="70"/>
      <c r="H16" s="70"/>
      <c r="I16" s="70"/>
      <c r="J16" s="70"/>
      <c r="K16" s="70"/>
      <c r="L16" s="70"/>
      <c r="M16" s="70"/>
      <c r="N16" s="70"/>
      <c r="O16" s="70"/>
    </row>
    <row r="17" spans="1:15" x14ac:dyDescent="0.25">
      <c r="A17" s="90"/>
      <c r="B17" s="90"/>
      <c r="C17" s="90"/>
      <c r="D17" s="90"/>
      <c r="E17" s="70"/>
      <c r="F17" s="70"/>
      <c r="G17" s="70"/>
      <c r="H17" s="70"/>
      <c r="I17" s="70"/>
      <c r="J17" s="70"/>
      <c r="K17" s="70"/>
      <c r="L17" s="70"/>
      <c r="M17" s="70"/>
      <c r="N17" s="70"/>
      <c r="O17" s="70"/>
    </row>
    <row r="18" spans="1:15" x14ac:dyDescent="0.25">
      <c r="A18" s="90"/>
      <c r="B18" s="94"/>
      <c r="C18" s="94"/>
      <c r="D18" s="94"/>
      <c r="E18" s="70"/>
      <c r="F18" s="70"/>
      <c r="G18" s="70"/>
      <c r="H18" s="70"/>
      <c r="I18" s="70"/>
      <c r="J18" s="70"/>
      <c r="K18" s="70"/>
      <c r="L18" s="70"/>
      <c r="M18" s="70"/>
      <c r="N18" s="70"/>
      <c r="O18" s="70"/>
    </row>
    <row r="19" spans="1:15" x14ac:dyDescent="0.25">
      <c r="A19" s="90"/>
      <c r="B19" s="94"/>
      <c r="C19" s="94"/>
      <c r="D19" s="94"/>
      <c r="E19" s="70"/>
      <c r="F19" s="70"/>
      <c r="G19" s="70"/>
      <c r="H19" s="70"/>
      <c r="I19" s="70"/>
      <c r="J19" s="70"/>
      <c r="K19" s="70"/>
      <c r="L19" s="70"/>
      <c r="M19" s="70"/>
      <c r="N19" s="70"/>
      <c r="O19" s="70"/>
    </row>
    <row r="20" spans="1:15" x14ac:dyDescent="0.25">
      <c r="A20" s="90"/>
      <c r="B20" s="94"/>
      <c r="C20" s="94"/>
      <c r="D20" s="94"/>
      <c r="E20" s="70"/>
      <c r="F20" s="70"/>
      <c r="G20" s="70"/>
      <c r="H20" s="70"/>
      <c r="I20" s="70"/>
      <c r="J20" s="70"/>
      <c r="K20" s="70"/>
      <c r="L20" s="70"/>
      <c r="M20" s="70"/>
      <c r="N20" s="70"/>
      <c r="O20" s="70"/>
    </row>
    <row r="21" spans="1:15" x14ac:dyDescent="0.25">
      <c r="A21" s="90"/>
      <c r="B21" s="94"/>
      <c r="C21" s="94"/>
      <c r="D21" s="94"/>
      <c r="E21" s="70"/>
      <c r="F21" s="70"/>
      <c r="G21" s="70"/>
      <c r="H21" s="70"/>
      <c r="I21" s="70"/>
      <c r="J21" s="70"/>
      <c r="K21" s="70"/>
      <c r="L21" s="70"/>
      <c r="M21" s="70"/>
      <c r="N21" s="70"/>
      <c r="O21" s="70"/>
    </row>
    <row r="22" spans="1:15" ht="20.25" x14ac:dyDescent="0.25">
      <c r="A22" s="90"/>
      <c r="B22" s="90"/>
      <c r="C22" s="92"/>
      <c r="D22" s="92"/>
      <c r="E22" s="70"/>
      <c r="F22" s="70"/>
      <c r="G22" s="70"/>
      <c r="H22" s="70"/>
      <c r="I22" s="70"/>
      <c r="J22" s="70"/>
      <c r="K22" s="70"/>
      <c r="L22" s="70"/>
      <c r="M22" s="70"/>
      <c r="N22" s="70"/>
      <c r="O22" s="70"/>
    </row>
    <row r="23" spans="1:15" ht="20.25" x14ac:dyDescent="0.25">
      <c r="A23" s="90"/>
      <c r="B23" s="90"/>
      <c r="C23" s="92"/>
      <c r="D23" s="92"/>
      <c r="E23" s="70"/>
      <c r="F23" s="70"/>
      <c r="G23" s="70"/>
      <c r="H23" s="70"/>
      <c r="I23" s="70"/>
      <c r="J23" s="70"/>
      <c r="K23" s="70"/>
      <c r="L23" s="70"/>
      <c r="M23" s="70"/>
      <c r="N23" s="70"/>
      <c r="O23" s="70"/>
    </row>
    <row r="24" spans="1:15" ht="20.25" x14ac:dyDescent="0.25">
      <c r="A24" s="90"/>
      <c r="B24" s="90"/>
      <c r="C24" s="92"/>
      <c r="D24" s="92"/>
      <c r="E24" s="70"/>
      <c r="F24" s="70"/>
      <c r="G24" s="70"/>
      <c r="H24" s="70"/>
      <c r="I24" s="70"/>
      <c r="J24" s="70"/>
      <c r="K24" s="70"/>
      <c r="L24" s="70"/>
      <c r="M24" s="70"/>
      <c r="N24" s="70"/>
      <c r="O24" s="70"/>
    </row>
    <row r="25" spans="1:15" ht="20.25" x14ac:dyDescent="0.25">
      <c r="A25" s="90"/>
      <c r="B25" s="90"/>
      <c r="C25" s="92"/>
      <c r="D25" s="92"/>
      <c r="E25" s="70"/>
      <c r="F25" s="70"/>
      <c r="G25" s="70"/>
      <c r="H25" s="70"/>
      <c r="I25" s="70"/>
      <c r="J25" s="70"/>
      <c r="K25" s="70"/>
      <c r="L25" s="70"/>
      <c r="M25" s="70"/>
      <c r="N25" s="70"/>
      <c r="O25" s="70"/>
    </row>
    <row r="26" spans="1:15" ht="20.25" x14ac:dyDescent="0.25">
      <c r="A26" s="90"/>
      <c r="B26" s="90"/>
      <c r="C26" s="92"/>
      <c r="D26" s="92"/>
      <c r="E26" s="70"/>
      <c r="F26" s="70"/>
      <c r="G26" s="70"/>
      <c r="H26" s="70"/>
      <c r="I26" s="70"/>
      <c r="J26" s="70"/>
      <c r="K26" s="70"/>
      <c r="L26" s="70"/>
      <c r="M26" s="70"/>
      <c r="N26" s="70"/>
      <c r="O26" s="70"/>
    </row>
    <row r="27" spans="1:15" ht="20.25" x14ac:dyDescent="0.25">
      <c r="A27" s="90"/>
      <c r="B27" s="90"/>
      <c r="C27" s="92"/>
      <c r="D27" s="92"/>
      <c r="E27" s="70"/>
      <c r="F27" s="70"/>
      <c r="G27" s="70"/>
      <c r="H27" s="70"/>
      <c r="I27" s="70"/>
      <c r="J27" s="70"/>
      <c r="K27" s="70"/>
      <c r="L27" s="70"/>
      <c r="M27" s="70"/>
      <c r="N27" s="70"/>
      <c r="O27" s="70"/>
    </row>
    <row r="28" spans="1:15" ht="20.25" x14ac:dyDescent="0.25">
      <c r="A28" s="90"/>
      <c r="B28" s="90"/>
      <c r="C28" s="92"/>
      <c r="D28" s="92"/>
      <c r="E28" s="70"/>
      <c r="F28" s="70"/>
      <c r="G28" s="70"/>
      <c r="H28" s="70"/>
      <c r="I28" s="70"/>
      <c r="J28" s="70"/>
      <c r="K28" s="70"/>
      <c r="L28" s="70"/>
      <c r="M28" s="70"/>
      <c r="N28" s="70"/>
      <c r="O28" s="70"/>
    </row>
    <row r="29" spans="1:15" ht="20.25" x14ac:dyDescent="0.25">
      <c r="A29" s="90"/>
      <c r="B29" s="90"/>
      <c r="C29" s="92"/>
      <c r="D29" s="92"/>
      <c r="E29" s="70"/>
      <c r="F29" s="70"/>
      <c r="G29" s="70"/>
      <c r="H29" s="70"/>
      <c r="I29" s="70"/>
      <c r="J29" s="70"/>
      <c r="K29" s="70"/>
      <c r="L29" s="70"/>
      <c r="M29" s="70"/>
      <c r="N29" s="70"/>
      <c r="O29" s="70"/>
    </row>
    <row r="30" spans="1:15" ht="20.25" x14ac:dyDescent="0.25">
      <c r="A30" s="90"/>
      <c r="B30" s="90"/>
      <c r="C30" s="92"/>
      <c r="D30" s="92"/>
      <c r="E30" s="70"/>
      <c r="F30" s="70"/>
      <c r="G30" s="70"/>
      <c r="H30" s="70"/>
      <c r="I30" s="70"/>
      <c r="J30" s="70"/>
      <c r="K30" s="70"/>
      <c r="L30" s="70"/>
      <c r="M30" s="70"/>
      <c r="N30" s="70"/>
      <c r="O30" s="70"/>
    </row>
    <row r="31" spans="1:15" ht="20.25" x14ac:dyDescent="0.25">
      <c r="A31" s="90"/>
      <c r="B31" s="90"/>
      <c r="C31" s="92"/>
      <c r="D31" s="92"/>
      <c r="E31" s="70"/>
      <c r="F31" s="70"/>
      <c r="G31" s="70"/>
      <c r="H31" s="70"/>
      <c r="I31" s="70"/>
      <c r="J31" s="70"/>
      <c r="K31" s="70"/>
      <c r="L31" s="70"/>
      <c r="M31" s="70"/>
      <c r="N31" s="70"/>
      <c r="O31" s="70"/>
    </row>
    <row r="32" spans="1:15" ht="20.25" x14ac:dyDescent="0.25">
      <c r="A32" s="90"/>
      <c r="B32" s="90"/>
      <c r="C32" s="92"/>
      <c r="D32" s="92"/>
      <c r="E32" s="70"/>
      <c r="F32" s="70"/>
      <c r="G32" s="70"/>
      <c r="H32" s="70"/>
      <c r="I32" s="70"/>
      <c r="J32" s="70"/>
      <c r="K32" s="70"/>
      <c r="L32" s="70"/>
      <c r="M32" s="70"/>
      <c r="N32" s="70"/>
      <c r="O32" s="70"/>
    </row>
    <row r="33" spans="1:15" ht="20.25" x14ac:dyDescent="0.25">
      <c r="A33" s="90"/>
      <c r="B33" s="90"/>
      <c r="C33" s="92"/>
      <c r="D33" s="92"/>
      <c r="E33" s="70"/>
      <c r="F33" s="70"/>
      <c r="G33" s="70"/>
      <c r="H33" s="70"/>
      <c r="I33" s="70"/>
      <c r="J33" s="70"/>
      <c r="K33" s="70"/>
      <c r="L33" s="70"/>
      <c r="M33" s="70"/>
      <c r="N33" s="70"/>
      <c r="O33" s="70"/>
    </row>
    <row r="34" spans="1:15" ht="20.25" x14ac:dyDescent="0.25">
      <c r="A34" s="90"/>
      <c r="B34" s="90"/>
      <c r="C34" s="92"/>
      <c r="D34" s="92"/>
      <c r="E34" s="70"/>
      <c r="F34" s="70"/>
      <c r="G34" s="70"/>
      <c r="H34" s="70"/>
      <c r="I34" s="70"/>
      <c r="J34" s="70"/>
      <c r="K34" s="70"/>
      <c r="L34" s="70"/>
      <c r="M34" s="70"/>
      <c r="N34" s="70"/>
      <c r="O34" s="70"/>
    </row>
    <row r="35" spans="1:15" ht="20.25" x14ac:dyDescent="0.25">
      <c r="A35" s="90"/>
      <c r="B35" s="90"/>
      <c r="C35" s="92"/>
      <c r="D35" s="92"/>
      <c r="E35" s="70"/>
      <c r="F35" s="70"/>
      <c r="G35" s="70"/>
      <c r="H35" s="70"/>
      <c r="I35" s="70"/>
      <c r="J35" s="70"/>
      <c r="K35" s="70"/>
      <c r="L35" s="70"/>
      <c r="M35" s="70"/>
      <c r="N35" s="70"/>
      <c r="O35" s="70"/>
    </row>
    <row r="36" spans="1:15" ht="20.25" x14ac:dyDescent="0.25">
      <c r="A36" s="90"/>
      <c r="B36" s="90"/>
      <c r="C36" s="92"/>
      <c r="D36" s="92"/>
      <c r="E36" s="70"/>
      <c r="F36" s="70"/>
      <c r="G36" s="70"/>
      <c r="H36" s="70"/>
      <c r="I36" s="70"/>
      <c r="J36" s="70"/>
      <c r="K36" s="70"/>
      <c r="L36" s="70"/>
      <c r="M36" s="70"/>
      <c r="N36" s="70"/>
      <c r="O36" s="70"/>
    </row>
    <row r="37" spans="1:15" ht="20.25" x14ac:dyDescent="0.25">
      <c r="A37" s="90"/>
      <c r="B37" s="90"/>
      <c r="C37" s="92"/>
      <c r="D37" s="92"/>
      <c r="E37" s="70"/>
      <c r="F37" s="70"/>
      <c r="G37" s="70"/>
      <c r="H37" s="70"/>
      <c r="I37" s="70"/>
      <c r="J37" s="70"/>
      <c r="K37" s="70"/>
      <c r="L37" s="70"/>
      <c r="M37" s="70"/>
      <c r="N37" s="70"/>
      <c r="O37" s="70"/>
    </row>
    <row r="38" spans="1:15" ht="20.25" x14ac:dyDescent="0.25">
      <c r="A38" s="90"/>
      <c r="B38" s="90"/>
      <c r="C38" s="92"/>
      <c r="D38" s="92"/>
      <c r="E38" s="70"/>
      <c r="F38" s="70"/>
      <c r="G38" s="70"/>
      <c r="H38" s="70"/>
      <c r="I38" s="70"/>
      <c r="J38" s="70"/>
      <c r="K38" s="70"/>
      <c r="L38" s="70"/>
      <c r="M38" s="70"/>
      <c r="N38" s="70"/>
      <c r="O38" s="70"/>
    </row>
    <row r="39" spans="1:15" ht="20.25" x14ac:dyDescent="0.25">
      <c r="A39" s="90"/>
      <c r="B39" s="90"/>
      <c r="C39" s="92"/>
      <c r="D39" s="92"/>
      <c r="E39" s="70"/>
      <c r="F39" s="70"/>
      <c r="G39" s="70"/>
      <c r="H39" s="70"/>
      <c r="I39" s="70"/>
      <c r="J39" s="70"/>
      <c r="K39" s="70"/>
      <c r="L39" s="70"/>
      <c r="M39" s="70"/>
      <c r="N39" s="70"/>
      <c r="O39" s="70"/>
    </row>
    <row r="40" spans="1:15" ht="20.25" x14ac:dyDescent="0.25">
      <c r="A40" s="90"/>
      <c r="B40" s="90"/>
      <c r="C40" s="92"/>
      <c r="D40" s="92"/>
      <c r="E40" s="70"/>
      <c r="F40" s="70"/>
      <c r="G40" s="70"/>
      <c r="H40" s="70"/>
      <c r="I40" s="70"/>
      <c r="J40" s="70"/>
      <c r="K40" s="70"/>
      <c r="L40" s="70"/>
      <c r="M40" s="70"/>
      <c r="N40" s="70"/>
      <c r="O40" s="70"/>
    </row>
    <row r="41" spans="1:15" ht="20.25" x14ac:dyDescent="0.25">
      <c r="A41" s="90"/>
      <c r="B41" s="90"/>
      <c r="C41" s="92"/>
      <c r="D41" s="92"/>
      <c r="E41" s="70"/>
      <c r="F41" s="70"/>
      <c r="G41" s="70"/>
      <c r="H41" s="70"/>
      <c r="I41" s="70"/>
      <c r="J41" s="70"/>
      <c r="K41" s="70"/>
      <c r="L41" s="70"/>
      <c r="M41" s="70"/>
      <c r="N41" s="70"/>
      <c r="O41" s="70"/>
    </row>
    <row r="42" spans="1:15" ht="20.25" x14ac:dyDescent="0.25">
      <c r="A42" s="90"/>
      <c r="B42" s="90"/>
      <c r="C42" s="92"/>
      <c r="D42" s="92"/>
      <c r="E42" s="70"/>
      <c r="F42" s="70"/>
      <c r="G42" s="70"/>
      <c r="H42" s="70"/>
      <c r="I42" s="70"/>
      <c r="J42" s="70"/>
      <c r="K42" s="70"/>
      <c r="L42" s="70"/>
      <c r="M42" s="70"/>
      <c r="N42" s="70"/>
      <c r="O42" s="70"/>
    </row>
    <row r="43" spans="1:15" ht="20.25" x14ac:dyDescent="0.25">
      <c r="A43" s="90"/>
      <c r="B43" s="90"/>
      <c r="C43" s="92"/>
      <c r="D43" s="92"/>
      <c r="E43" s="70"/>
      <c r="F43" s="70"/>
      <c r="G43" s="70"/>
      <c r="H43" s="70"/>
      <c r="I43" s="70"/>
      <c r="J43" s="70"/>
      <c r="K43" s="70"/>
      <c r="L43" s="70"/>
      <c r="M43" s="70"/>
      <c r="N43" s="70"/>
      <c r="O43" s="70"/>
    </row>
    <row r="44" spans="1:15" ht="20.25" x14ac:dyDescent="0.25">
      <c r="A44" s="90"/>
      <c r="B44" s="90"/>
      <c r="C44" s="92"/>
      <c r="D44" s="92"/>
      <c r="E44" s="70"/>
      <c r="F44" s="70"/>
      <c r="G44" s="70"/>
      <c r="H44" s="70"/>
      <c r="I44" s="70"/>
      <c r="J44" s="70"/>
      <c r="K44" s="70"/>
      <c r="L44" s="70"/>
      <c r="M44" s="70"/>
      <c r="N44" s="70"/>
      <c r="O44" s="70"/>
    </row>
    <row r="45" spans="1:15" ht="20.25" x14ac:dyDescent="0.25">
      <c r="A45" s="90"/>
      <c r="B45" s="90"/>
      <c r="C45" s="92"/>
      <c r="D45" s="92"/>
      <c r="E45" s="70"/>
      <c r="F45" s="70"/>
      <c r="G45" s="70"/>
      <c r="H45" s="70"/>
      <c r="I45" s="70"/>
      <c r="J45" s="70"/>
      <c r="K45" s="70"/>
      <c r="L45" s="70"/>
      <c r="M45" s="70"/>
      <c r="N45" s="70"/>
      <c r="O45" s="70"/>
    </row>
    <row r="46" spans="1:15" ht="20.25" x14ac:dyDescent="0.25">
      <c r="A46" s="90"/>
      <c r="B46" s="90"/>
      <c r="C46" s="92"/>
      <c r="D46" s="92"/>
      <c r="E46" s="70"/>
      <c r="F46" s="70"/>
      <c r="G46" s="70"/>
      <c r="H46" s="70"/>
      <c r="I46" s="70"/>
      <c r="J46" s="70"/>
      <c r="K46" s="70"/>
      <c r="L46" s="70"/>
      <c r="M46" s="70"/>
      <c r="N46" s="70"/>
      <c r="O46" s="70"/>
    </row>
    <row r="47" spans="1:15" ht="20.25" x14ac:dyDescent="0.25">
      <c r="A47" s="90"/>
      <c r="B47" s="90"/>
      <c r="C47" s="92"/>
      <c r="D47" s="92"/>
      <c r="E47" s="70"/>
      <c r="F47" s="70"/>
      <c r="G47" s="70"/>
      <c r="H47" s="70"/>
      <c r="I47" s="70"/>
      <c r="J47" s="70"/>
      <c r="K47" s="70"/>
      <c r="L47" s="70"/>
      <c r="M47" s="70"/>
      <c r="N47" s="70"/>
      <c r="O47" s="70"/>
    </row>
    <row r="48" spans="1:15" ht="20.25" x14ac:dyDescent="0.25">
      <c r="A48" s="90"/>
      <c r="B48" s="90"/>
      <c r="C48" s="92"/>
      <c r="D48" s="92"/>
      <c r="E48" s="70"/>
      <c r="F48" s="70"/>
      <c r="G48" s="70"/>
      <c r="H48" s="70"/>
      <c r="I48" s="70"/>
      <c r="J48" s="70"/>
      <c r="K48" s="70"/>
      <c r="L48" s="70"/>
      <c r="M48" s="70"/>
      <c r="N48" s="70"/>
      <c r="O48" s="70"/>
    </row>
    <row r="49" spans="1:15" ht="20.25" x14ac:dyDescent="0.25">
      <c r="A49" s="90"/>
      <c r="B49" s="90"/>
      <c r="C49" s="92"/>
      <c r="D49" s="92"/>
      <c r="E49" s="70"/>
      <c r="F49" s="70"/>
      <c r="G49" s="70"/>
      <c r="H49" s="70"/>
      <c r="I49" s="70"/>
      <c r="J49" s="70"/>
      <c r="K49" s="70"/>
      <c r="L49" s="70"/>
      <c r="M49" s="70"/>
      <c r="N49" s="70"/>
      <c r="O49" s="70"/>
    </row>
    <row r="50" spans="1:15" ht="20.25" x14ac:dyDescent="0.25">
      <c r="A50" s="90"/>
      <c r="B50" s="90"/>
      <c r="C50" s="92"/>
      <c r="D50" s="92"/>
      <c r="E50" s="70"/>
      <c r="F50" s="70"/>
      <c r="G50" s="70"/>
      <c r="H50" s="70"/>
      <c r="I50" s="70"/>
      <c r="J50" s="70"/>
      <c r="K50" s="70"/>
      <c r="L50" s="70"/>
      <c r="M50" s="70"/>
      <c r="N50" s="70"/>
      <c r="O50" s="70"/>
    </row>
    <row r="51" spans="1:15" ht="20.25" x14ac:dyDescent="0.25">
      <c r="A51" s="90"/>
      <c r="B51" s="90"/>
      <c r="C51" s="92"/>
      <c r="D51" s="92"/>
      <c r="E51" s="70"/>
      <c r="F51" s="70"/>
      <c r="G51" s="70"/>
      <c r="H51" s="70"/>
      <c r="I51" s="70"/>
      <c r="J51" s="70"/>
      <c r="K51" s="70"/>
      <c r="L51" s="70"/>
      <c r="M51" s="70"/>
      <c r="N51" s="70"/>
      <c r="O51" s="70"/>
    </row>
    <row r="52" spans="1:15" ht="20.25" x14ac:dyDescent="0.25">
      <c r="A52" s="90"/>
      <c r="B52" s="15"/>
      <c r="C52" s="20"/>
      <c r="D52" s="20"/>
    </row>
    <row r="53" spans="1:15" ht="20.25" x14ac:dyDescent="0.25">
      <c r="A53" s="90"/>
      <c r="B53" s="15"/>
      <c r="C53" s="20"/>
      <c r="D53" s="20"/>
    </row>
    <row r="54" spans="1:15" ht="20.25" x14ac:dyDescent="0.25">
      <c r="A54" s="90"/>
      <c r="B54" s="15"/>
      <c r="C54" s="20"/>
      <c r="D54" s="20"/>
    </row>
    <row r="55" spans="1:15" ht="20.25" x14ac:dyDescent="0.25">
      <c r="A55" s="90"/>
      <c r="B55" s="15"/>
      <c r="C55" s="20"/>
      <c r="D55" s="20"/>
    </row>
    <row r="56" spans="1:15" ht="20.25" x14ac:dyDescent="0.25">
      <c r="A56" s="90"/>
      <c r="B56" s="15"/>
      <c r="C56" s="20"/>
      <c r="D56" s="20"/>
    </row>
    <row r="57" spans="1:15" ht="20.25" x14ac:dyDescent="0.25">
      <c r="A57" s="90"/>
      <c r="B57" s="15"/>
      <c r="C57" s="20"/>
      <c r="D57" s="20"/>
    </row>
    <row r="58" spans="1:15" ht="20.25" x14ac:dyDescent="0.25">
      <c r="A58" s="90"/>
      <c r="B58" s="15"/>
      <c r="C58" s="20"/>
      <c r="D58" s="20"/>
    </row>
    <row r="59" spans="1:15" ht="20.25" x14ac:dyDescent="0.25">
      <c r="A59" s="90"/>
      <c r="B59" s="15"/>
      <c r="C59" s="20"/>
      <c r="D59" s="20"/>
    </row>
    <row r="60" spans="1:15" ht="20.25" x14ac:dyDescent="0.25">
      <c r="A60" s="90"/>
      <c r="B60" s="15"/>
      <c r="C60" s="20"/>
      <c r="D60" s="20"/>
    </row>
    <row r="61" spans="1:15" ht="20.25" x14ac:dyDescent="0.25">
      <c r="A61" s="90"/>
      <c r="B61" s="15"/>
      <c r="C61" s="20"/>
      <c r="D61" s="20"/>
    </row>
    <row r="62" spans="1:15" ht="20.25" x14ac:dyDescent="0.25">
      <c r="A62" s="90"/>
      <c r="B62" s="15"/>
      <c r="C62" s="20"/>
      <c r="D62" s="20"/>
    </row>
    <row r="63" spans="1:15" ht="20.25" x14ac:dyDescent="0.25">
      <c r="A63" s="90"/>
      <c r="B63" s="15"/>
      <c r="C63" s="20"/>
      <c r="D63" s="20"/>
    </row>
    <row r="64" spans="1:15" ht="20.25" x14ac:dyDescent="0.25">
      <c r="A64" s="90"/>
      <c r="B64" s="15"/>
      <c r="C64" s="20"/>
      <c r="D64" s="20"/>
    </row>
    <row r="65" spans="1:4" ht="20.25" x14ac:dyDescent="0.25">
      <c r="A65" s="90"/>
      <c r="B65" s="15"/>
      <c r="C65" s="20"/>
      <c r="D65" s="20"/>
    </row>
    <row r="66" spans="1:4" ht="20.25" x14ac:dyDescent="0.25">
      <c r="A66" s="90"/>
      <c r="B66" s="15"/>
      <c r="C66" s="20"/>
      <c r="D66" s="20"/>
    </row>
    <row r="67" spans="1:4" ht="20.25" x14ac:dyDescent="0.25">
      <c r="A67" s="90"/>
      <c r="B67" s="15"/>
      <c r="C67" s="20"/>
      <c r="D67" s="20"/>
    </row>
    <row r="68" spans="1:4" ht="20.25" x14ac:dyDescent="0.25">
      <c r="A68" s="90"/>
      <c r="B68" s="15"/>
      <c r="C68" s="20"/>
      <c r="D68" s="20"/>
    </row>
    <row r="69" spans="1:4" ht="20.25" x14ac:dyDescent="0.25">
      <c r="A69" s="90"/>
      <c r="B69" s="15"/>
      <c r="C69" s="20"/>
      <c r="D69" s="20"/>
    </row>
    <row r="70" spans="1:4" ht="20.25" x14ac:dyDescent="0.25">
      <c r="A70" s="90"/>
      <c r="B70" s="15"/>
      <c r="C70" s="20"/>
      <c r="D70" s="20"/>
    </row>
    <row r="71" spans="1:4" ht="20.25" x14ac:dyDescent="0.25">
      <c r="A71" s="90"/>
      <c r="B71" s="15"/>
      <c r="C71" s="20"/>
      <c r="D71" s="20"/>
    </row>
    <row r="72" spans="1:4" ht="20.25" x14ac:dyDescent="0.25">
      <c r="A72" s="90"/>
      <c r="B72" s="15"/>
      <c r="C72" s="20"/>
      <c r="D72" s="20"/>
    </row>
    <row r="73" spans="1:4" ht="20.25" x14ac:dyDescent="0.25">
      <c r="A73" s="90"/>
      <c r="B73" s="15"/>
      <c r="C73" s="20"/>
      <c r="D73" s="20"/>
    </row>
    <row r="74" spans="1:4" ht="20.25" x14ac:dyDescent="0.25">
      <c r="A74" s="90"/>
      <c r="B74" s="15"/>
      <c r="C74" s="20"/>
      <c r="D74" s="20"/>
    </row>
    <row r="75" spans="1:4" ht="20.25" x14ac:dyDescent="0.25">
      <c r="A75" s="90"/>
      <c r="B75" s="15"/>
      <c r="C75" s="20"/>
      <c r="D75" s="20"/>
    </row>
    <row r="76" spans="1:4" ht="20.25" x14ac:dyDescent="0.25">
      <c r="A76" s="90"/>
      <c r="B76" s="15"/>
      <c r="C76" s="20"/>
      <c r="D76" s="20"/>
    </row>
    <row r="77" spans="1:4" ht="20.25" x14ac:dyDescent="0.25">
      <c r="A77" s="90"/>
      <c r="B77" s="15"/>
      <c r="C77" s="20"/>
      <c r="D77" s="20"/>
    </row>
    <row r="78" spans="1:4" ht="20.25" x14ac:dyDescent="0.25">
      <c r="A78" s="90"/>
      <c r="B78" s="15"/>
      <c r="C78" s="20"/>
      <c r="D78" s="20"/>
    </row>
    <row r="79" spans="1:4" ht="20.25" x14ac:dyDescent="0.25">
      <c r="A79" s="90"/>
      <c r="B79" s="15"/>
      <c r="C79" s="20"/>
      <c r="D79" s="20"/>
    </row>
    <row r="80" spans="1:4" ht="20.25" x14ac:dyDescent="0.25">
      <c r="A80" s="90"/>
      <c r="B80" s="15"/>
      <c r="C80" s="20"/>
      <c r="D80" s="20"/>
    </row>
    <row r="81" spans="1:4" ht="20.25" x14ac:dyDescent="0.25">
      <c r="A81" s="90"/>
      <c r="B81" s="15"/>
      <c r="C81" s="20"/>
      <c r="D81" s="20"/>
    </row>
    <row r="82" spans="1:4" ht="20.25" x14ac:dyDescent="0.25">
      <c r="A82" s="90"/>
      <c r="B82" s="15"/>
      <c r="C82" s="20"/>
      <c r="D82" s="20"/>
    </row>
    <row r="83" spans="1:4" ht="20.25" x14ac:dyDescent="0.25">
      <c r="A83" s="90"/>
      <c r="B83" s="15"/>
      <c r="C83" s="20"/>
      <c r="D83" s="20"/>
    </row>
    <row r="84" spans="1:4" ht="20.25" x14ac:dyDescent="0.25">
      <c r="A84" s="90"/>
      <c r="B84" s="15"/>
      <c r="C84" s="20"/>
      <c r="D84" s="20"/>
    </row>
    <row r="85" spans="1:4" ht="20.25" x14ac:dyDescent="0.25">
      <c r="A85" s="90"/>
      <c r="B85" s="15"/>
      <c r="C85" s="20"/>
      <c r="D85" s="20"/>
    </row>
    <row r="86" spans="1:4" ht="20.25" x14ac:dyDescent="0.25">
      <c r="A86" s="90"/>
      <c r="B86" s="15"/>
      <c r="C86" s="20"/>
      <c r="D86" s="20"/>
    </row>
    <row r="87" spans="1:4" ht="20.25" x14ac:dyDescent="0.25">
      <c r="A87" s="90"/>
      <c r="B87" s="15"/>
      <c r="C87" s="20"/>
      <c r="D87" s="20"/>
    </row>
    <row r="88" spans="1:4" ht="20.25" x14ac:dyDescent="0.25">
      <c r="A88" s="90"/>
      <c r="B88" s="15"/>
      <c r="C88" s="20"/>
      <c r="D88" s="20"/>
    </row>
    <row r="89" spans="1:4" ht="20.25" x14ac:dyDescent="0.25">
      <c r="A89" s="90"/>
      <c r="B89" s="15"/>
      <c r="C89" s="20"/>
      <c r="D89" s="20"/>
    </row>
    <row r="90" spans="1:4" ht="20.25" x14ac:dyDescent="0.25">
      <c r="A90" s="90"/>
      <c r="B90" s="15"/>
      <c r="C90" s="20"/>
      <c r="D90" s="20"/>
    </row>
    <row r="91" spans="1:4" ht="20.25" x14ac:dyDescent="0.25">
      <c r="A91" s="90"/>
      <c r="B91" s="15"/>
      <c r="C91" s="20"/>
      <c r="D91" s="20"/>
    </row>
    <row r="92" spans="1:4" ht="20.25" x14ac:dyDescent="0.25">
      <c r="A92" s="90"/>
      <c r="B92" s="15"/>
      <c r="C92" s="20"/>
      <c r="D92" s="20"/>
    </row>
    <row r="93" spans="1:4" ht="20.25" x14ac:dyDescent="0.25">
      <c r="A93" s="90"/>
      <c r="B93" s="15"/>
      <c r="C93" s="20"/>
      <c r="D93" s="20"/>
    </row>
    <row r="94" spans="1:4" ht="20.25" x14ac:dyDescent="0.25">
      <c r="A94" s="90"/>
      <c r="B94" s="15"/>
      <c r="C94" s="20"/>
      <c r="D94" s="20"/>
    </row>
    <row r="95" spans="1:4" ht="20.25" x14ac:dyDescent="0.25">
      <c r="A95" s="90"/>
      <c r="B95" s="15"/>
      <c r="C95" s="20"/>
      <c r="D95" s="20"/>
    </row>
    <row r="96" spans="1:4" ht="20.25" x14ac:dyDescent="0.25">
      <c r="A96" s="90"/>
      <c r="B96" s="15"/>
      <c r="C96" s="20"/>
      <c r="D96" s="20"/>
    </row>
    <row r="97" spans="1:4" ht="20.25" x14ac:dyDescent="0.25">
      <c r="A97" s="90"/>
      <c r="B97" s="15"/>
      <c r="C97" s="20"/>
      <c r="D97" s="20"/>
    </row>
    <row r="98" spans="1:4" ht="20.25" x14ac:dyDescent="0.25">
      <c r="A98" s="90"/>
      <c r="B98" s="15"/>
      <c r="C98" s="20"/>
      <c r="D98" s="20"/>
    </row>
    <row r="99" spans="1:4" ht="20.25" x14ac:dyDescent="0.25">
      <c r="A99" s="90"/>
      <c r="B99" s="15"/>
      <c r="C99" s="20"/>
      <c r="D99" s="20"/>
    </row>
    <row r="100" spans="1:4" ht="20.25" x14ac:dyDescent="0.25">
      <c r="A100" s="90"/>
      <c r="B100" s="15"/>
      <c r="C100" s="20"/>
      <c r="D100" s="20"/>
    </row>
    <row r="101" spans="1:4" ht="20.25" x14ac:dyDescent="0.25">
      <c r="A101" s="90"/>
      <c r="B101" s="15"/>
      <c r="C101" s="20"/>
      <c r="D101" s="20"/>
    </row>
    <row r="102" spans="1:4" ht="20.25" x14ac:dyDescent="0.25">
      <c r="A102" s="90"/>
      <c r="B102" s="15"/>
      <c r="C102" s="20"/>
      <c r="D102" s="20"/>
    </row>
    <row r="103" spans="1:4" ht="20.25" x14ac:dyDescent="0.25">
      <c r="A103" s="90"/>
      <c r="B103" s="15"/>
      <c r="C103" s="20"/>
      <c r="D103" s="20"/>
    </row>
    <row r="104" spans="1:4" ht="20.25" x14ac:dyDescent="0.25">
      <c r="A104" s="90"/>
      <c r="B104" s="15"/>
      <c r="C104" s="20"/>
      <c r="D104" s="20"/>
    </row>
    <row r="105" spans="1:4" ht="20.25" x14ac:dyDescent="0.25">
      <c r="A105" s="90"/>
      <c r="B105" s="15"/>
      <c r="C105" s="20"/>
      <c r="D105" s="20"/>
    </row>
    <row r="106" spans="1:4" ht="20.25" x14ac:dyDescent="0.25">
      <c r="A106" s="90"/>
      <c r="B106" s="15"/>
      <c r="C106" s="20"/>
      <c r="D106" s="20"/>
    </row>
    <row r="107" spans="1:4" ht="20.25" x14ac:dyDescent="0.25">
      <c r="A107" s="90"/>
      <c r="B107" s="15"/>
      <c r="C107" s="20"/>
      <c r="D107" s="20"/>
    </row>
    <row r="108" spans="1:4" ht="20.25" x14ac:dyDescent="0.25">
      <c r="A108" s="90"/>
      <c r="B108" s="15"/>
      <c r="C108" s="20"/>
      <c r="D108" s="20"/>
    </row>
    <row r="109" spans="1:4" ht="20.25" x14ac:dyDescent="0.25">
      <c r="A109" s="90"/>
      <c r="B109" s="15"/>
      <c r="C109" s="20"/>
      <c r="D109" s="20"/>
    </row>
    <row r="110" spans="1:4" ht="20.25" x14ac:dyDescent="0.25">
      <c r="A110" s="90"/>
      <c r="B110" s="15"/>
      <c r="C110" s="20"/>
      <c r="D110" s="20"/>
    </row>
    <row r="111" spans="1:4" ht="20.25" x14ac:dyDescent="0.25">
      <c r="A111" s="90"/>
      <c r="B111" s="15"/>
      <c r="C111" s="20"/>
      <c r="D111" s="20"/>
    </row>
    <row r="112" spans="1:4" ht="20.25" x14ac:dyDescent="0.25">
      <c r="A112" s="90"/>
      <c r="B112" s="15"/>
      <c r="C112" s="20"/>
      <c r="D112" s="20"/>
    </row>
    <row r="113" spans="1:4" ht="20.25" x14ac:dyDescent="0.25">
      <c r="A113" s="90"/>
      <c r="B113" s="15"/>
      <c r="C113" s="20"/>
      <c r="D113" s="20"/>
    </row>
    <row r="114" spans="1:4" ht="20.25" x14ac:dyDescent="0.25">
      <c r="A114" s="90"/>
      <c r="B114" s="15"/>
      <c r="C114" s="20"/>
      <c r="D114" s="20"/>
    </row>
    <row r="115" spans="1:4" ht="20.25" x14ac:dyDescent="0.25">
      <c r="A115" s="90"/>
      <c r="B115" s="15"/>
      <c r="C115" s="20"/>
      <c r="D115" s="20"/>
    </row>
    <row r="116" spans="1:4" ht="20.25" x14ac:dyDescent="0.25">
      <c r="A116" s="90"/>
      <c r="B116" s="15"/>
      <c r="C116" s="20"/>
      <c r="D116" s="20"/>
    </row>
    <row r="117" spans="1:4" ht="20.25" x14ac:dyDescent="0.25">
      <c r="A117" s="90"/>
      <c r="B117" s="15"/>
      <c r="C117" s="20"/>
      <c r="D117" s="20"/>
    </row>
    <row r="118" spans="1:4" ht="20.25" x14ac:dyDescent="0.25">
      <c r="A118" s="90"/>
      <c r="B118" s="15"/>
      <c r="C118" s="20"/>
      <c r="D118" s="20"/>
    </row>
    <row r="119" spans="1:4" ht="20.25" x14ac:dyDescent="0.25">
      <c r="A119" s="90"/>
      <c r="B119" s="15"/>
      <c r="C119" s="20"/>
      <c r="D119" s="20"/>
    </row>
    <row r="120" spans="1:4" ht="20.25" x14ac:dyDescent="0.25">
      <c r="A120" s="90"/>
      <c r="B120" s="15"/>
      <c r="C120" s="20"/>
      <c r="D120" s="20"/>
    </row>
    <row r="121" spans="1:4" ht="20.25" x14ac:dyDescent="0.25">
      <c r="A121" s="90"/>
      <c r="B121" s="15"/>
      <c r="C121" s="20"/>
      <c r="D121" s="20"/>
    </row>
    <row r="122" spans="1:4" ht="20.25" x14ac:dyDescent="0.25">
      <c r="A122" s="90"/>
      <c r="B122" s="15"/>
      <c r="C122" s="20"/>
      <c r="D122" s="20"/>
    </row>
    <row r="123" spans="1:4" ht="20.25" x14ac:dyDescent="0.25">
      <c r="A123" s="90"/>
      <c r="B123" s="15"/>
      <c r="C123" s="20"/>
      <c r="D123" s="20"/>
    </row>
    <row r="124" spans="1:4" ht="20.25" x14ac:dyDescent="0.25">
      <c r="A124" s="90"/>
      <c r="B124" s="15"/>
      <c r="C124" s="20"/>
      <c r="D124" s="20"/>
    </row>
    <row r="125" spans="1:4" ht="20.25" x14ac:dyDescent="0.25">
      <c r="A125" s="90"/>
      <c r="B125" s="15"/>
      <c r="C125" s="20"/>
      <c r="D125" s="20"/>
    </row>
    <row r="126" spans="1:4" ht="20.25" x14ac:dyDescent="0.25">
      <c r="A126" s="90"/>
      <c r="B126" s="15"/>
      <c r="C126" s="20"/>
      <c r="D126" s="20"/>
    </row>
    <row r="127" spans="1:4" ht="20.25" x14ac:dyDescent="0.25">
      <c r="A127" s="90"/>
      <c r="B127" s="15"/>
      <c r="C127" s="20"/>
      <c r="D127" s="20"/>
    </row>
    <row r="128" spans="1:4" ht="20.25" x14ac:dyDescent="0.25">
      <c r="A128" s="90"/>
      <c r="B128" s="15"/>
      <c r="C128" s="20"/>
      <c r="D128" s="20"/>
    </row>
    <row r="129" spans="1:4" ht="20.25" x14ac:dyDescent="0.25">
      <c r="A129" s="90"/>
      <c r="B129" s="15"/>
      <c r="C129" s="20"/>
      <c r="D129" s="20"/>
    </row>
    <row r="130" spans="1:4" ht="20.25" x14ac:dyDescent="0.25">
      <c r="A130" s="90"/>
      <c r="B130" s="15"/>
      <c r="C130" s="20"/>
      <c r="D130" s="20"/>
    </row>
    <row r="131" spans="1:4" ht="20.25" x14ac:dyDescent="0.25">
      <c r="A131" s="90"/>
      <c r="B131" s="15"/>
      <c r="C131" s="20"/>
      <c r="D131" s="20"/>
    </row>
    <row r="132" spans="1:4" ht="20.25" x14ac:dyDescent="0.25">
      <c r="A132" s="90"/>
      <c r="B132" s="15"/>
      <c r="C132" s="20"/>
      <c r="D132" s="20"/>
    </row>
    <row r="133" spans="1:4" ht="20.25" x14ac:dyDescent="0.25">
      <c r="A133" s="90"/>
      <c r="B133" s="15"/>
      <c r="C133" s="20"/>
      <c r="D133" s="20"/>
    </row>
    <row r="134" spans="1:4" ht="20.25" x14ac:dyDescent="0.25">
      <c r="A134" s="90"/>
      <c r="B134" s="15"/>
      <c r="C134" s="20"/>
      <c r="D134" s="20"/>
    </row>
    <row r="135" spans="1:4" ht="20.25" x14ac:dyDescent="0.25">
      <c r="A135" s="90"/>
      <c r="B135" s="15"/>
      <c r="C135" s="20"/>
      <c r="D135" s="20"/>
    </row>
    <row r="136" spans="1:4" ht="20.25" x14ac:dyDescent="0.25">
      <c r="A136" s="90"/>
      <c r="B136" s="15"/>
      <c r="C136" s="20"/>
      <c r="D136" s="20"/>
    </row>
    <row r="137" spans="1:4" ht="20.25" x14ac:dyDescent="0.25">
      <c r="A137" s="90"/>
      <c r="B137" s="15"/>
      <c r="C137" s="20"/>
      <c r="D137" s="20"/>
    </row>
    <row r="138" spans="1:4" ht="20.25" x14ac:dyDescent="0.25">
      <c r="A138" s="90"/>
      <c r="B138" s="15"/>
      <c r="C138" s="20"/>
      <c r="D138" s="20"/>
    </row>
    <row r="139" spans="1:4" ht="20.25" x14ac:dyDescent="0.25">
      <c r="A139" s="90"/>
      <c r="B139" s="15"/>
      <c r="C139" s="20"/>
      <c r="D139" s="20"/>
    </row>
    <row r="140" spans="1:4" ht="20.25" x14ac:dyDescent="0.25">
      <c r="A140" s="90"/>
      <c r="B140" s="15"/>
      <c r="C140" s="20"/>
      <c r="D140" s="20"/>
    </row>
    <row r="141" spans="1:4" ht="20.25" x14ac:dyDescent="0.25">
      <c r="A141" s="90"/>
      <c r="B141" s="15"/>
      <c r="C141" s="20"/>
      <c r="D141" s="20"/>
    </row>
    <row r="142" spans="1:4" ht="20.25" x14ac:dyDescent="0.25">
      <c r="A142" s="90"/>
      <c r="B142" s="15"/>
      <c r="C142" s="20"/>
      <c r="D142" s="20"/>
    </row>
    <row r="143" spans="1:4" ht="20.25" x14ac:dyDescent="0.25">
      <c r="A143" s="90"/>
      <c r="B143" s="15"/>
      <c r="C143" s="20"/>
      <c r="D143" s="20"/>
    </row>
    <row r="144" spans="1:4" ht="20.25" x14ac:dyDescent="0.25">
      <c r="A144" s="90"/>
      <c r="B144" s="15"/>
      <c r="C144" s="20"/>
      <c r="D144" s="20"/>
    </row>
    <row r="145" spans="1:4" ht="20.25" x14ac:dyDescent="0.25">
      <c r="A145" s="90"/>
      <c r="B145" s="15"/>
      <c r="C145" s="20"/>
      <c r="D145" s="20"/>
    </row>
    <row r="146" spans="1:4" ht="20.25" x14ac:dyDescent="0.25">
      <c r="A146" s="90"/>
      <c r="B146" s="15"/>
      <c r="C146" s="20"/>
      <c r="D146" s="20"/>
    </row>
    <row r="147" spans="1:4" ht="20.25" x14ac:dyDescent="0.25">
      <c r="A147" s="90"/>
      <c r="B147" s="15"/>
      <c r="C147" s="20"/>
      <c r="D147" s="20"/>
    </row>
    <row r="148" spans="1:4" ht="20.25" x14ac:dyDescent="0.25">
      <c r="A148" s="90"/>
      <c r="B148" s="15"/>
      <c r="C148" s="20"/>
      <c r="D148" s="20"/>
    </row>
    <row r="149" spans="1:4" ht="20.25" x14ac:dyDescent="0.25">
      <c r="A149" s="90"/>
      <c r="B149" s="15"/>
      <c r="C149" s="20"/>
      <c r="D149" s="20"/>
    </row>
    <row r="150" spans="1:4" ht="20.25" x14ac:dyDescent="0.25">
      <c r="A150" s="90"/>
      <c r="B150" s="15"/>
      <c r="C150" s="20"/>
      <c r="D150" s="20"/>
    </row>
    <row r="151" spans="1:4" ht="20.25" x14ac:dyDescent="0.25">
      <c r="A151" s="90"/>
      <c r="B151" s="15"/>
      <c r="C151" s="20"/>
      <c r="D151" s="20"/>
    </row>
    <row r="152" spans="1:4" ht="20.25" x14ac:dyDescent="0.25">
      <c r="A152" s="90"/>
      <c r="B152" s="15"/>
      <c r="C152" s="20"/>
      <c r="D152" s="20"/>
    </row>
    <row r="153" spans="1:4" ht="20.25" x14ac:dyDescent="0.25">
      <c r="A153" s="90"/>
      <c r="B153" s="15"/>
      <c r="C153" s="20"/>
      <c r="D153" s="20"/>
    </row>
    <row r="154" spans="1:4" ht="20.25" x14ac:dyDescent="0.25">
      <c r="A154" s="90"/>
      <c r="B154" s="15"/>
      <c r="C154" s="20"/>
      <c r="D154" s="20"/>
    </row>
    <row r="155" spans="1:4" ht="20.25" x14ac:dyDescent="0.25">
      <c r="A155" s="90"/>
      <c r="B155" s="15"/>
      <c r="C155" s="20"/>
      <c r="D155" s="20"/>
    </row>
    <row r="156" spans="1:4" ht="20.25" x14ac:dyDescent="0.25">
      <c r="A156" s="90"/>
      <c r="B156" s="15"/>
      <c r="C156" s="20"/>
      <c r="D156" s="20"/>
    </row>
    <row r="157" spans="1:4" ht="20.25" x14ac:dyDescent="0.25">
      <c r="A157" s="90"/>
      <c r="B157" s="15"/>
      <c r="C157" s="20"/>
      <c r="D157" s="20"/>
    </row>
    <row r="158" spans="1:4" ht="20.25" x14ac:dyDescent="0.25">
      <c r="A158" s="90"/>
      <c r="B158" s="15"/>
      <c r="C158" s="20"/>
      <c r="D158" s="20"/>
    </row>
    <row r="159" spans="1:4" ht="20.25" x14ac:dyDescent="0.25">
      <c r="A159" s="90"/>
      <c r="B159" s="15"/>
      <c r="C159" s="20"/>
      <c r="D159" s="20"/>
    </row>
    <row r="160" spans="1:4" ht="20.25" x14ac:dyDescent="0.25">
      <c r="A160" s="90"/>
      <c r="B160" s="15"/>
      <c r="C160" s="20"/>
      <c r="D160" s="20"/>
    </row>
    <row r="161" spans="1:4" ht="20.25" x14ac:dyDescent="0.25">
      <c r="A161" s="90"/>
      <c r="B161" s="15"/>
      <c r="C161" s="20"/>
      <c r="D161" s="20"/>
    </row>
    <row r="162" spans="1:4" ht="20.25" x14ac:dyDescent="0.25">
      <c r="A162" s="90"/>
      <c r="B162" s="15"/>
      <c r="C162" s="20"/>
      <c r="D162" s="20"/>
    </row>
    <row r="163" spans="1:4" ht="20.25" x14ac:dyDescent="0.25">
      <c r="A163" s="90"/>
      <c r="B163" s="15"/>
      <c r="C163" s="20"/>
      <c r="D163" s="20"/>
    </row>
    <row r="164" spans="1:4" ht="20.25" x14ac:dyDescent="0.25">
      <c r="A164" s="90"/>
      <c r="B164" s="15"/>
      <c r="C164" s="20"/>
      <c r="D164" s="20"/>
    </row>
    <row r="165" spans="1:4" ht="20.25" x14ac:dyDescent="0.25">
      <c r="A165" s="90"/>
      <c r="B165" s="15"/>
      <c r="C165" s="20"/>
      <c r="D165" s="20"/>
    </row>
    <row r="166" spans="1:4" ht="20.25" x14ac:dyDescent="0.25">
      <c r="A166" s="90"/>
      <c r="B166" s="15"/>
      <c r="C166" s="20"/>
      <c r="D166" s="20"/>
    </row>
    <row r="167" spans="1:4" ht="20.25" x14ac:dyDescent="0.25">
      <c r="A167" s="90"/>
      <c r="B167" s="15"/>
      <c r="C167" s="20"/>
      <c r="D167" s="20"/>
    </row>
    <row r="168" spans="1:4" ht="20.25" x14ac:dyDescent="0.25">
      <c r="A168" s="90"/>
      <c r="B168" s="15"/>
      <c r="C168" s="20"/>
      <c r="D168" s="20"/>
    </row>
    <row r="169" spans="1:4" ht="20.25" x14ac:dyDescent="0.25">
      <c r="A169" s="90"/>
      <c r="B169" s="15"/>
      <c r="C169" s="20"/>
      <c r="D169" s="20"/>
    </row>
    <row r="170" spans="1:4" ht="20.25" x14ac:dyDescent="0.25">
      <c r="A170" s="90"/>
      <c r="B170" s="15"/>
      <c r="C170" s="20"/>
      <c r="D170" s="20"/>
    </row>
    <row r="171" spans="1:4" ht="20.25" x14ac:dyDescent="0.25">
      <c r="A171" s="90"/>
      <c r="B171" s="15"/>
      <c r="C171" s="20"/>
      <c r="D171" s="20"/>
    </row>
    <row r="172" spans="1:4" ht="20.25" x14ac:dyDescent="0.25">
      <c r="A172" s="90"/>
      <c r="B172" s="15"/>
      <c r="C172" s="20"/>
      <c r="D172" s="20"/>
    </row>
    <row r="173" spans="1:4" ht="20.25" x14ac:dyDescent="0.25">
      <c r="A173" s="90"/>
      <c r="B173" s="15"/>
      <c r="C173" s="20"/>
      <c r="D173" s="20"/>
    </row>
    <row r="174" spans="1:4" ht="20.25" x14ac:dyDescent="0.25">
      <c r="A174" s="90"/>
      <c r="B174" s="15"/>
      <c r="C174" s="20"/>
      <c r="D174" s="20"/>
    </row>
    <row r="175" spans="1:4" ht="20.25" x14ac:dyDescent="0.25">
      <c r="A175" s="90"/>
      <c r="B175" s="15"/>
      <c r="C175" s="20"/>
      <c r="D175" s="20"/>
    </row>
    <row r="176" spans="1:4" ht="20.25" x14ac:dyDescent="0.25">
      <c r="A176" s="90"/>
      <c r="B176" s="15"/>
      <c r="C176" s="20"/>
      <c r="D176" s="20"/>
    </row>
    <row r="177" spans="1:4" ht="20.25" x14ac:dyDescent="0.25">
      <c r="A177" s="90"/>
      <c r="B177" s="15"/>
      <c r="C177" s="20"/>
      <c r="D177" s="20"/>
    </row>
    <row r="178" spans="1:4" ht="20.25" x14ac:dyDescent="0.25">
      <c r="A178" s="90"/>
      <c r="B178" s="15"/>
      <c r="C178" s="20"/>
      <c r="D178" s="20"/>
    </row>
    <row r="179" spans="1:4" ht="20.25" x14ac:dyDescent="0.25">
      <c r="A179" s="90"/>
      <c r="B179" s="15"/>
      <c r="C179" s="20"/>
      <c r="D179" s="20"/>
    </row>
    <row r="180" spans="1:4" ht="20.25" x14ac:dyDescent="0.25">
      <c r="A180" s="90"/>
      <c r="B180" s="15"/>
      <c r="C180" s="20"/>
      <c r="D180" s="20"/>
    </row>
    <row r="181" spans="1:4" ht="20.25" x14ac:dyDescent="0.25">
      <c r="A181" s="90"/>
      <c r="B181" s="15"/>
      <c r="C181" s="20"/>
      <c r="D181" s="20"/>
    </row>
    <row r="182" spans="1:4" ht="20.25" x14ac:dyDescent="0.25">
      <c r="A182" s="90"/>
      <c r="B182" s="15"/>
      <c r="C182" s="20"/>
      <c r="D182" s="20"/>
    </row>
    <row r="183" spans="1:4" ht="20.25" x14ac:dyDescent="0.25">
      <c r="A183" s="90"/>
      <c r="B183" s="15"/>
      <c r="C183" s="20"/>
      <c r="D183" s="20"/>
    </row>
    <row r="184" spans="1:4" ht="20.25" x14ac:dyDescent="0.25">
      <c r="A184" s="90"/>
      <c r="B184" s="15"/>
      <c r="C184" s="20"/>
      <c r="D184" s="20"/>
    </row>
    <row r="185" spans="1:4" ht="20.25" x14ac:dyDescent="0.25">
      <c r="A185" s="90"/>
      <c r="B185" s="15"/>
      <c r="C185" s="20"/>
      <c r="D185" s="20"/>
    </row>
    <row r="186" spans="1:4" ht="20.25" x14ac:dyDescent="0.25">
      <c r="A186" s="90"/>
      <c r="B186" s="15"/>
      <c r="C186" s="20"/>
      <c r="D186" s="20"/>
    </row>
    <row r="187" spans="1:4" ht="20.25" x14ac:dyDescent="0.25">
      <c r="A187" s="90"/>
      <c r="B187" s="15"/>
      <c r="C187" s="20"/>
      <c r="D187" s="20"/>
    </row>
    <row r="188" spans="1:4" ht="20.25" x14ac:dyDescent="0.25">
      <c r="A188" s="90"/>
      <c r="B188" s="15"/>
      <c r="C188" s="20"/>
      <c r="D188" s="20"/>
    </row>
    <row r="189" spans="1:4" ht="20.25" x14ac:dyDescent="0.25">
      <c r="A189" s="90"/>
      <c r="B189" s="15"/>
      <c r="C189" s="20"/>
      <c r="D189" s="20"/>
    </row>
    <row r="190" spans="1:4" ht="20.25" x14ac:dyDescent="0.25">
      <c r="A190" s="90"/>
      <c r="B190" s="15"/>
      <c r="C190" s="20"/>
      <c r="D190" s="20"/>
    </row>
    <row r="191" spans="1:4" ht="20.25" x14ac:dyDescent="0.25">
      <c r="A191" s="90"/>
      <c r="B191" s="15"/>
      <c r="C191" s="20"/>
      <c r="D191" s="20"/>
    </row>
    <row r="192" spans="1:4" ht="20.25" x14ac:dyDescent="0.25">
      <c r="A192" s="90"/>
      <c r="B192" s="15"/>
      <c r="C192" s="20"/>
      <c r="D192" s="20"/>
    </row>
    <row r="193" spans="1:4" ht="20.25" x14ac:dyDescent="0.25">
      <c r="A193" s="90"/>
      <c r="B193" s="15"/>
      <c r="C193" s="20"/>
      <c r="D193" s="20"/>
    </row>
    <row r="194" spans="1:4" ht="20.25" x14ac:dyDescent="0.25">
      <c r="A194" s="90"/>
      <c r="B194" s="15"/>
      <c r="C194" s="20"/>
      <c r="D194" s="20"/>
    </row>
    <row r="195" spans="1:4" ht="20.25" x14ac:dyDescent="0.25">
      <c r="A195" s="90"/>
      <c r="B195" s="15"/>
      <c r="C195" s="20"/>
      <c r="D195" s="20"/>
    </row>
    <row r="196" spans="1:4" ht="20.25" x14ac:dyDescent="0.25">
      <c r="A196" s="90"/>
      <c r="B196" s="15"/>
      <c r="C196" s="20"/>
      <c r="D196" s="20"/>
    </row>
    <row r="197" spans="1:4" ht="20.25" x14ac:dyDescent="0.25">
      <c r="A197" s="90"/>
      <c r="B197" s="15"/>
      <c r="C197" s="20"/>
      <c r="D197" s="20"/>
    </row>
    <row r="198" spans="1:4" ht="20.25" x14ac:dyDescent="0.25">
      <c r="A198" s="90"/>
      <c r="B198" s="15"/>
      <c r="C198" s="20"/>
      <c r="D198" s="20"/>
    </row>
    <row r="199" spans="1:4" ht="20.25" x14ac:dyDescent="0.25">
      <c r="A199" s="90"/>
      <c r="B199" s="15"/>
      <c r="C199" s="20"/>
      <c r="D199" s="20"/>
    </row>
    <row r="200" spans="1:4" ht="20.25" x14ac:dyDescent="0.25">
      <c r="A200" s="90"/>
      <c r="B200" s="15"/>
      <c r="C200" s="20"/>
      <c r="D200" s="20"/>
    </row>
    <row r="201" spans="1:4" ht="20.25" x14ac:dyDescent="0.25">
      <c r="A201" s="90"/>
      <c r="B201" s="15"/>
      <c r="C201" s="20"/>
      <c r="D201" s="20"/>
    </row>
    <row r="202" spans="1:4" ht="20.25" x14ac:dyDescent="0.25">
      <c r="A202" s="90"/>
      <c r="B202" s="15"/>
      <c r="C202" s="20"/>
      <c r="D202" s="20"/>
    </row>
    <row r="203" spans="1:4" ht="20.25" x14ac:dyDescent="0.25">
      <c r="A203" s="90"/>
      <c r="B203" s="15"/>
      <c r="C203" s="20"/>
      <c r="D203" s="20"/>
    </row>
    <row r="204" spans="1:4" ht="20.25" x14ac:dyDescent="0.25">
      <c r="A204" s="90"/>
      <c r="B204" s="15"/>
      <c r="C204" s="20"/>
      <c r="D204" s="20"/>
    </row>
    <row r="205" spans="1:4" ht="20.25" x14ac:dyDescent="0.25">
      <c r="A205" s="90"/>
      <c r="B205" s="15"/>
      <c r="C205" s="20"/>
      <c r="D205" s="20"/>
    </row>
    <row r="206" spans="1:4" ht="20.25" x14ac:dyDescent="0.25">
      <c r="A206" s="90"/>
      <c r="B206" s="15"/>
      <c r="C206" s="20"/>
      <c r="D206" s="20"/>
    </row>
    <row r="207" spans="1:4" ht="20.25" x14ac:dyDescent="0.25">
      <c r="A207" s="90"/>
      <c r="B207" s="15"/>
      <c r="C207" s="20"/>
      <c r="D207" s="20"/>
    </row>
    <row r="208" spans="1:4" x14ac:dyDescent="0.25">
      <c r="A208" s="70"/>
      <c r="B208" s="15"/>
      <c r="C208" s="15"/>
      <c r="D208" s="15"/>
    </row>
    <row r="209" spans="1:8" ht="20.25" x14ac:dyDescent="0.25">
      <c r="A209" s="70"/>
      <c r="B209" s="16" t="s">
        <v>88</v>
      </c>
      <c r="C209" s="16" t="s">
        <v>144</v>
      </c>
      <c r="D209" s="19" t="s">
        <v>88</v>
      </c>
      <c r="E209" s="19" t="s">
        <v>144</v>
      </c>
    </row>
    <row r="210" spans="1:8" ht="21" x14ac:dyDescent="0.35">
      <c r="A210" s="70"/>
      <c r="B210" s="17" t="s">
        <v>90</v>
      </c>
      <c r="C210" s="17"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70"/>
      <c r="B211" s="17" t="s">
        <v>90</v>
      </c>
      <c r="C211" s="17" t="s">
        <v>93</v>
      </c>
      <c r="E211" t="s">
        <v>58</v>
      </c>
      <c r="F211" t="str">
        <f t="shared" ref="F211:F221" si="0">IF(NOT(ISBLANK(D211)),D211,IF(NOT(ISBLANK(E211)),"     "&amp;E211,FALSE))</f>
        <v xml:space="preserve">     Afectación menor a 10 SMLMV .</v>
      </c>
    </row>
    <row r="212" spans="1:8" ht="21" x14ac:dyDescent="0.35">
      <c r="A212" s="70"/>
      <c r="B212" s="17" t="s">
        <v>90</v>
      </c>
      <c r="C212" s="17" t="s">
        <v>94</v>
      </c>
      <c r="E212" t="s">
        <v>93</v>
      </c>
      <c r="F212" t="str">
        <f t="shared" si="0"/>
        <v xml:space="preserve">     Entre 10 y 50 SMLMV </v>
      </c>
    </row>
    <row r="213" spans="1:8" ht="21" x14ac:dyDescent="0.35">
      <c r="A213" s="70"/>
      <c r="B213" s="17" t="s">
        <v>90</v>
      </c>
      <c r="C213" s="17" t="s">
        <v>95</v>
      </c>
      <c r="E213" t="s">
        <v>94</v>
      </c>
      <c r="F213" t="str">
        <f t="shared" si="0"/>
        <v xml:space="preserve">     Entre 50 y 100 SMLMV </v>
      </c>
    </row>
    <row r="214" spans="1:8" ht="21" x14ac:dyDescent="0.35">
      <c r="A214" s="70"/>
      <c r="B214" s="17" t="s">
        <v>90</v>
      </c>
      <c r="C214" s="17" t="s">
        <v>96</v>
      </c>
      <c r="E214" t="s">
        <v>95</v>
      </c>
      <c r="F214" t="str">
        <f t="shared" si="0"/>
        <v xml:space="preserve">     Entre 100 y 500 SMLMV </v>
      </c>
    </row>
    <row r="215" spans="1:8" ht="21" x14ac:dyDescent="0.35">
      <c r="A215" s="70"/>
      <c r="B215" s="17" t="s">
        <v>57</v>
      </c>
      <c r="C215" s="17" t="s">
        <v>97</v>
      </c>
      <c r="E215" t="s">
        <v>96</v>
      </c>
      <c r="F215" t="str">
        <f t="shared" si="0"/>
        <v xml:space="preserve">     Mayor a 500 SMLMV </v>
      </c>
    </row>
    <row r="216" spans="1:8" ht="21" x14ac:dyDescent="0.35">
      <c r="A216" s="70"/>
      <c r="B216" s="17" t="s">
        <v>57</v>
      </c>
      <c r="C216" s="17" t="s">
        <v>98</v>
      </c>
      <c r="D216" t="s">
        <v>57</v>
      </c>
      <c r="F216" t="str">
        <f t="shared" si="0"/>
        <v>Pérdida Reputacional</v>
      </c>
    </row>
    <row r="217" spans="1:8" ht="21" x14ac:dyDescent="0.35">
      <c r="A217" s="70"/>
      <c r="B217" s="17" t="s">
        <v>57</v>
      </c>
      <c r="C217" s="17" t="s">
        <v>100</v>
      </c>
      <c r="E217" t="s">
        <v>97</v>
      </c>
      <c r="F217" t="str">
        <f t="shared" si="0"/>
        <v xml:space="preserve">     El riesgo afecta la imagen de alguna área de la organización</v>
      </c>
    </row>
    <row r="218" spans="1:8" ht="21" x14ac:dyDescent="0.35">
      <c r="A218" s="70"/>
      <c r="B218" s="17" t="s">
        <v>57</v>
      </c>
      <c r="C218" s="17" t="s">
        <v>99</v>
      </c>
      <c r="E218" t="s">
        <v>98</v>
      </c>
      <c r="F218" t="str">
        <f t="shared" si="0"/>
        <v xml:space="preserve">     El riesgo afecta la imagen de la entidad internamente, de conocimiento general, nivel interno, de junta dircetiva y accionistas y/o de provedores</v>
      </c>
    </row>
    <row r="219" spans="1:8" ht="21" x14ac:dyDescent="0.35">
      <c r="A219" s="70"/>
      <c r="B219" s="17" t="s">
        <v>57</v>
      </c>
      <c r="C219" s="17" t="s">
        <v>118</v>
      </c>
      <c r="E219" t="s">
        <v>100</v>
      </c>
      <c r="F219" t="str">
        <f t="shared" si="0"/>
        <v xml:space="preserve">     El riesgo afecta la imagen de la entidad con algunos usuarios de relevancia frente al logro de los objetivos</v>
      </c>
    </row>
    <row r="220" spans="1:8" x14ac:dyDescent="0.25">
      <c r="A220" s="70"/>
      <c r="B220" s="18"/>
      <c r="C220" s="18"/>
      <c r="E220" t="s">
        <v>99</v>
      </c>
      <c r="F220" t="str">
        <f t="shared" si="0"/>
        <v xml:space="preserve">     El riesgo afecta la imagen de de la entidad con efecto publicitario sostenido a nivel de sector administrativo, nivel departamental o municipal</v>
      </c>
    </row>
    <row r="221" spans="1:8" x14ac:dyDescent="0.25">
      <c r="A221" s="70"/>
      <c r="B221" s="18" t="str" cm="1">
        <f t="array" ref="B221:B223">_xlfn.UNIQUE(Tabla1[[#All],[Criterios]])</f>
        <v>Criterios</v>
      </c>
      <c r="C221" s="18"/>
      <c r="E221" t="s">
        <v>118</v>
      </c>
      <c r="F221" t="str">
        <f t="shared" si="0"/>
        <v xml:space="preserve">     El riesgo afecta la imagen de la entidad a nivel nacional, con efecto publicitarios sostenible a nivel país</v>
      </c>
    </row>
    <row r="222" spans="1:8" x14ac:dyDescent="0.25">
      <c r="A222" s="70"/>
      <c r="B222" s="18" t="str">
        <v>Afectación Económica o presupuestal</v>
      </c>
      <c r="C222" s="18"/>
    </row>
    <row r="223" spans="1:8" x14ac:dyDescent="0.25">
      <c r="B223" s="18" t="str">
        <v>Pérdida Reputacional</v>
      </c>
      <c r="C223" s="18"/>
      <c r="F223" s="21" t="s">
        <v>146</v>
      </c>
    </row>
    <row r="224" spans="1:8" x14ac:dyDescent="0.25">
      <c r="B224" s="14"/>
      <c r="C224" s="14"/>
      <c r="F224" s="21" t="s">
        <v>147</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75"/>
    <col min="3" max="3" width="17" style="75" customWidth="1"/>
    <col min="4" max="4" width="14.28515625" style="75"/>
    <col min="5" max="5" width="46" style="75" customWidth="1"/>
    <col min="6" max="16384" width="14.28515625" style="75"/>
  </cols>
  <sheetData>
    <row r="1" spans="2:6" ht="24" customHeight="1" thickBot="1" x14ac:dyDescent="0.25">
      <c r="B1" s="450" t="s">
        <v>78</v>
      </c>
      <c r="C1" s="451"/>
      <c r="D1" s="451"/>
      <c r="E1" s="451"/>
      <c r="F1" s="452"/>
    </row>
    <row r="2" spans="2:6" ht="16.5" thickBot="1" x14ac:dyDescent="0.3">
      <c r="B2" s="76"/>
      <c r="C2" s="76"/>
      <c r="D2" s="76"/>
      <c r="E2" s="76"/>
      <c r="F2" s="76"/>
    </row>
    <row r="3" spans="2:6" ht="16.5" thickBot="1" x14ac:dyDescent="0.25">
      <c r="B3" s="454" t="s">
        <v>64</v>
      </c>
      <c r="C3" s="455"/>
      <c r="D3" s="455"/>
      <c r="E3" s="88" t="s">
        <v>65</v>
      </c>
      <c r="F3" s="89" t="s">
        <v>66</v>
      </c>
    </row>
    <row r="4" spans="2:6" ht="31.5" x14ac:dyDescent="0.2">
      <c r="B4" s="456" t="s">
        <v>67</v>
      </c>
      <c r="C4" s="458" t="s">
        <v>13</v>
      </c>
      <c r="D4" s="77" t="s">
        <v>14</v>
      </c>
      <c r="E4" s="78" t="s">
        <v>68</v>
      </c>
      <c r="F4" s="79">
        <v>0.25</v>
      </c>
    </row>
    <row r="5" spans="2:6" ht="47.25" x14ac:dyDescent="0.2">
      <c r="B5" s="457"/>
      <c r="C5" s="459"/>
      <c r="D5" s="80" t="s">
        <v>15</v>
      </c>
      <c r="E5" s="81" t="s">
        <v>69</v>
      </c>
      <c r="F5" s="82">
        <v>0.15</v>
      </c>
    </row>
    <row r="6" spans="2:6" ht="47.25" x14ac:dyDescent="0.2">
      <c r="B6" s="457"/>
      <c r="C6" s="459"/>
      <c r="D6" s="80" t="s">
        <v>16</v>
      </c>
      <c r="E6" s="81" t="s">
        <v>70</v>
      </c>
      <c r="F6" s="82">
        <v>0.1</v>
      </c>
    </row>
    <row r="7" spans="2:6" ht="63" x14ac:dyDescent="0.2">
      <c r="B7" s="457"/>
      <c r="C7" s="459" t="s">
        <v>17</v>
      </c>
      <c r="D7" s="80" t="s">
        <v>10</v>
      </c>
      <c r="E7" s="81" t="s">
        <v>71</v>
      </c>
      <c r="F7" s="82">
        <v>0.25</v>
      </c>
    </row>
    <row r="8" spans="2:6" ht="31.5" x14ac:dyDescent="0.2">
      <c r="B8" s="457"/>
      <c r="C8" s="459"/>
      <c r="D8" s="80" t="s">
        <v>9</v>
      </c>
      <c r="E8" s="81" t="s">
        <v>72</v>
      </c>
      <c r="F8" s="82">
        <v>0.15</v>
      </c>
    </row>
    <row r="9" spans="2:6" ht="47.25" x14ac:dyDescent="0.2">
      <c r="B9" s="457" t="s">
        <v>161</v>
      </c>
      <c r="C9" s="459" t="s">
        <v>18</v>
      </c>
      <c r="D9" s="80" t="s">
        <v>19</v>
      </c>
      <c r="E9" s="81" t="s">
        <v>73</v>
      </c>
      <c r="F9" s="83" t="s">
        <v>74</v>
      </c>
    </row>
    <row r="10" spans="2:6" ht="63" x14ac:dyDescent="0.2">
      <c r="B10" s="457"/>
      <c r="C10" s="459"/>
      <c r="D10" s="80" t="s">
        <v>20</v>
      </c>
      <c r="E10" s="81" t="s">
        <v>75</v>
      </c>
      <c r="F10" s="83" t="s">
        <v>74</v>
      </c>
    </row>
    <row r="11" spans="2:6" ht="47.25" x14ac:dyDescent="0.2">
      <c r="B11" s="457"/>
      <c r="C11" s="459" t="s">
        <v>21</v>
      </c>
      <c r="D11" s="80" t="s">
        <v>22</v>
      </c>
      <c r="E11" s="81" t="s">
        <v>76</v>
      </c>
      <c r="F11" s="83" t="s">
        <v>74</v>
      </c>
    </row>
    <row r="12" spans="2:6" ht="47.25" x14ac:dyDescent="0.2">
      <c r="B12" s="457"/>
      <c r="C12" s="459"/>
      <c r="D12" s="80" t="s">
        <v>23</v>
      </c>
      <c r="E12" s="81" t="s">
        <v>77</v>
      </c>
      <c r="F12" s="83" t="s">
        <v>74</v>
      </c>
    </row>
    <row r="13" spans="2:6" ht="31.5" x14ac:dyDescent="0.2">
      <c r="B13" s="457"/>
      <c r="C13" s="459" t="s">
        <v>24</v>
      </c>
      <c r="D13" s="80" t="s">
        <v>119</v>
      </c>
      <c r="E13" s="81" t="s">
        <v>122</v>
      </c>
      <c r="F13" s="83" t="s">
        <v>74</v>
      </c>
    </row>
    <row r="14" spans="2:6" ht="32.25" thickBot="1" x14ac:dyDescent="0.25">
      <c r="B14" s="460"/>
      <c r="C14" s="461"/>
      <c r="D14" s="84" t="s">
        <v>120</v>
      </c>
      <c r="E14" s="85" t="s">
        <v>121</v>
      </c>
      <c r="F14" s="86" t="s">
        <v>74</v>
      </c>
    </row>
    <row r="15" spans="2:6" ht="49.5" customHeight="1" x14ac:dyDescent="0.2">
      <c r="B15" s="453" t="s">
        <v>158</v>
      </c>
      <c r="C15" s="453"/>
      <c r="D15" s="453"/>
      <c r="E15" s="453"/>
      <c r="F15" s="453"/>
    </row>
    <row r="16" spans="2:6" ht="27" customHeight="1" x14ac:dyDescent="0.25">
      <c r="B16" s="8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2021-12-02T16:38:43Z</cp:lastPrinted>
  <dcterms:created xsi:type="dcterms:W3CDTF">2020-03-24T23:12:47Z</dcterms:created>
  <dcterms:modified xsi:type="dcterms:W3CDTF">2021-12-20T20:40:26Z</dcterms:modified>
</cp:coreProperties>
</file>